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70" windowHeight="4470" tabRatio="863" firstSheet="26" activeTab="3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.a.sz.m.fejlesztés (4)" sheetId="8" r:id="rId8"/>
    <sheet name="6.b.sz.m.intfejl (2)" sheetId="9" r:id="rId9"/>
    <sheet name="7.sz.m.Dologi kiadás (3)" sheetId="10" r:id="rId10"/>
    <sheet name="8.sz.m.szociális kiadások (2)" sheetId="11" r:id="rId11"/>
    <sheet name="9.sz.m.átadott pe (3)" sheetId="12" r:id="rId12"/>
    <sheet name="10 .sz.m. Létszám (2)" sheetId="13" r:id="rId13"/>
    <sheet name="11.sz.m.maradvány" sheetId="14" r:id="rId14"/>
    <sheet name="12.sz.mérleg" sheetId="15" r:id="rId15"/>
    <sheet name="13amell.Vagyokim. Beled Önk" sheetId="16" r:id="rId16"/>
    <sheet name="13bmell.Vagyokim. Közös Hiv" sheetId="17" r:id="rId17"/>
    <sheet name="13cmell.Vagyokim.BÁMK" sheetId="18" r:id="rId18"/>
    <sheet name="13d.sz.m Önk.érték nélkül Beled" sheetId="19" r:id="rId19"/>
    <sheet name="13e.sz.m érték nélkül Közös Hiv" sheetId="20" r:id="rId20"/>
    <sheet name="13f.sz.m.érték nélkül BÁMK" sheetId="21" r:id="rId21"/>
    <sheet name="14. sz adósság kötelezettség" sheetId="22" r:id="rId22"/>
    <sheet name="15. saját bevételek" sheetId="23" r:id="rId23"/>
    <sheet name="16. sz.m. hitelállomány" sheetId="24" r:id="rId24"/>
    <sheet name="12. sz.m. előir felh terv" sheetId="25" state="hidden" r:id="rId25"/>
    <sheet name="17.sz.m akü" sheetId="26" r:id="rId26"/>
    <sheet name="18.sz.m. állami támogatás " sheetId="27" r:id="rId27"/>
    <sheet name="19. sz.m. közvetett tám. " sheetId="28" r:id="rId28"/>
    <sheet name="20.sz.m.többéves kihatás" sheetId="29" r:id="rId29"/>
    <sheet name="21.sz.m.részesedések" sheetId="30" r:id="rId30"/>
    <sheet name="22.sz.m. pe változás" sheetId="31" r:id="rId31"/>
    <sheet name="23. sz. m. EU " sheetId="32" r:id="rId32"/>
    <sheet name="üres lap" sheetId="33" state="hidden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'1.sz.m-önk.össze.bev'!$A$1:$AA$64</definedName>
    <definedName name="_xlnm.Print_Area" localSheetId="12">'10 .sz.m. Létszám (2)'!$A$1:$O$16</definedName>
    <definedName name="_xlnm.Print_Area" localSheetId="24">'12. sz.m. előir felh terv'!$A$1:$O$22</definedName>
    <definedName name="_xlnm.Print_Area" localSheetId="21">'14. sz adósság kötelezettség'!$A$1:$F$25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Hiv'!$A$1:$AF$52</definedName>
    <definedName name="_xlnm.Print_Area" localSheetId="6">'5.2 sz. m ÁMK'!$A$1:$U$56</definedName>
    <definedName name="_xlnm.Print_Area" localSheetId="7">'6.a.sz.m.fejlesztés (4)'!$A$1:$Z$43</definedName>
    <definedName name="_xlnm.Print_Area" localSheetId="8">'6.b.sz.m.intfejl (2)'!$A$1:$J$33</definedName>
    <definedName name="_xlnm.Print_Area" localSheetId="9">'7.sz.m.Dologi kiadás (3)'!$A$1:$X$42</definedName>
    <definedName name="_xlnm.Print_Area" localSheetId="10">'8.sz.m.szociális kiadások (2)'!$A$1:$W$36</definedName>
    <definedName name="_xlnm.Print_Area" localSheetId="11">'9.sz.m.átadott pe (3)'!$A$1:$AB$118</definedName>
    <definedName name="_xlnm.Print_Area" localSheetId="32">'üres lap'!$A$1:$R$44</definedName>
  </definedNames>
  <calcPr fullCalcOnLoad="1"/>
</workbook>
</file>

<file path=xl/sharedStrings.xml><?xml version="1.0" encoding="utf-8"?>
<sst xmlns="http://schemas.openxmlformats.org/spreadsheetml/2006/main" count="2597" uniqueCount="1024">
  <si>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</si>
  <si>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</si>
  <si>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</si>
  <si>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</si>
  <si>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</si>
  <si>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</si>
  <si>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</si>
  <si>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</si>
  <si>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</si>
  <si>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</si>
  <si>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</si>
  <si>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</si>
  <si>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</si>
  <si>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</si>
  <si>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</si>
  <si>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</si>
  <si>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</si>
  <si>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</si>
  <si>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</si>
  <si>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</si>
  <si>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</si>
  <si>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</si>
  <si>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</si>
  <si>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</si>
  <si>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</si>
  <si>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</si>
  <si>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</si>
  <si>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</si>
  <si>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</si>
  <si>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</si>
  <si>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</si>
  <si>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</si>
  <si>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</si>
  <si>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</si>
  <si>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</si>
  <si>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</si>
  <si>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</si>
  <si>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</si>
  <si>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</si>
  <si>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</si>
  <si>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</si>
  <si>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</si>
  <si>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</si>
  <si>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</si>
  <si>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</si>
  <si>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</si>
  <si>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</si>
  <si>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</si>
  <si>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</si>
  <si>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</si>
  <si>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</si>
  <si>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</si>
  <si>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</si>
  <si>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</si>
  <si>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</si>
  <si>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</si>
  <si>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</si>
  <si>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</si>
  <si>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</si>
  <si>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</si>
  <si>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</si>
  <si>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</si>
  <si>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</si>
  <si>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</si>
  <si>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</si>
  <si>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</si>
  <si>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</si>
  <si>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</si>
  <si>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</si>
  <si>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</si>
  <si>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</si>
  <si>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</si>
  <si>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</si>
  <si>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</si>
  <si>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</si>
  <si>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</si>
  <si>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</si>
  <si>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</si>
  <si>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</si>
  <si>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</si>
  <si>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</si>
  <si>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</si>
  <si>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</si>
  <si>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</si>
  <si>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</si>
  <si>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</si>
  <si>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</si>
  <si>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</si>
  <si>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</si>
  <si>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</si>
  <si>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</si>
  <si>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</si>
  <si>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</si>
  <si>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</si>
  <si>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</si>
  <si>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</si>
  <si>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</si>
  <si>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</si>
  <si>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</si>
  <si>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</si>
  <si>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</si>
  <si>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</si>
  <si>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</si>
  <si>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</si>
  <si>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</si>
  <si>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</si>
  <si>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</si>
  <si>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</si>
  <si>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</si>
  <si>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</si>
  <si>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</si>
  <si>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</si>
  <si>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</si>
  <si>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</si>
  <si>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</si>
  <si>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</si>
  <si>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</si>
  <si>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</si>
  <si>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</si>
  <si>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</si>
  <si>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</si>
  <si>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</si>
  <si>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</si>
  <si>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</si>
  <si>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</si>
  <si>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</si>
  <si>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</si>
  <si>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</si>
  <si>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</si>
  <si>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</si>
  <si>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</si>
  <si>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</si>
  <si>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</si>
  <si>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</si>
  <si>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</si>
  <si>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</si>
  <si>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</si>
  <si>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</si>
  <si>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</si>
  <si>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</si>
  <si>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</si>
  <si>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</si>
  <si>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</si>
  <si>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</si>
  <si>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</si>
  <si>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</si>
  <si>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</si>
  <si>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</si>
  <si>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</si>
  <si>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</si>
  <si>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</si>
  <si>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</si>
  <si>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</si>
  <si>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</si>
  <si>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</si>
  <si>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</si>
  <si>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</si>
  <si>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</si>
  <si>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</si>
  <si>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</si>
  <si>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</si>
  <si>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</si>
  <si>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</si>
  <si>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</si>
  <si>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</si>
  <si>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</si>
  <si>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</si>
  <si>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</si>
  <si>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</si>
  <si>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</si>
  <si>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</si>
  <si>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</si>
  <si>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</si>
  <si>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</si>
  <si>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</si>
  <si>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</si>
  <si>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</si>
  <si>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</si>
  <si>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</si>
  <si>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</si>
  <si>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</si>
  <si>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</si>
  <si>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</si>
  <si>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</si>
  <si>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</si>
  <si>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</si>
  <si>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</si>
  <si>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</si>
  <si>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</si>
  <si>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</si>
  <si>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</si>
  <si>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</si>
  <si>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</si>
  <si>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</si>
  <si>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</si>
  <si>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</si>
  <si>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</si>
  <si>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</si>
  <si>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</si>
  <si>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</si>
  <si>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</si>
  <si>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</si>
  <si>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</si>
  <si>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</si>
  <si>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</si>
  <si>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</si>
  <si>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</si>
  <si>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</si>
  <si>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</si>
  <si>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</si>
  <si>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</si>
  <si>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</si>
  <si>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</si>
  <si>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</si>
  <si>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</si>
  <si>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</si>
  <si>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</si>
  <si>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</si>
  <si>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</si>
  <si>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</si>
  <si>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</si>
  <si>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</si>
  <si>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</si>
  <si>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</si>
  <si>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</si>
  <si>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</si>
  <si>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</si>
  <si>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</si>
  <si>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</si>
  <si>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</si>
  <si>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</si>
  <si>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</si>
  <si>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</si>
  <si>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</si>
  <si>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</si>
  <si>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</si>
  <si>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</si>
  <si>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</si>
  <si>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</si>
  <si>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</si>
  <si>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</si>
  <si>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</si>
  <si>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</si>
  <si>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</si>
  <si>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</si>
  <si>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</si>
  <si>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</si>
  <si>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</si>
  <si>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</si>
  <si>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</si>
  <si>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</si>
  <si>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</si>
  <si>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</si>
  <si>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</si>
  <si>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</si>
  <si>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</si>
  <si>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</si>
  <si>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</si>
  <si>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</si>
  <si>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</si>
  <si>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</si>
  <si>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</si>
  <si>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</si>
  <si>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</si>
  <si>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</si>
  <si>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</si>
  <si>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</si>
  <si>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</si>
  <si>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</si>
  <si>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</si>
  <si>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</si>
  <si>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</si>
  <si>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</si>
  <si>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</si>
  <si>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</si>
  <si>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</si>
  <si>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</si>
  <si>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</si>
  <si>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</si>
  <si>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</si>
  <si>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</si>
  <si>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</si>
  <si>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</si>
  <si>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</si>
  <si>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</si>
  <si>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</si>
  <si>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</si>
  <si>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</si>
  <si>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</si>
  <si>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</si>
  <si>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</si>
  <si>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</si>
  <si>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</si>
  <si>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</si>
  <si>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</si>
  <si>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</si>
  <si>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</si>
  <si>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</si>
  <si>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</si>
  <si>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</si>
  <si>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</si>
  <si>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</si>
  <si>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</si>
  <si>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</si>
  <si>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</si>
  <si>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</si>
  <si>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</si>
  <si>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</si>
  <si>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</si>
  <si>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</si>
  <si>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</si>
  <si>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</si>
  <si>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</si>
  <si>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</si>
  <si>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</si>
  <si>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</si>
  <si>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</si>
  <si>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</si>
  <si>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</si>
  <si>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</si>
  <si>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</si>
  <si>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</si>
  <si>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</si>
  <si>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</si>
  <si>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</si>
  <si>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</si>
  <si>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</si>
  <si>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</si>
  <si>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</si>
  <si>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</si>
  <si>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</si>
  <si>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</si>
  <si>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</si>
  <si>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</si>
  <si>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</si>
  <si>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</si>
  <si>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</si>
  <si>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</si>
  <si>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</si>
  <si>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</si>
  <si>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</si>
  <si>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</si>
  <si>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</si>
  <si>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</si>
  <si>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Vicai Ifjúsági Egyesület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</si>
  <si>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</si>
  <si>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</si>
  <si>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</si>
  <si>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</si>
  <si>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</si>
  <si>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</si>
  <si>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</si>
  <si>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</si>
  <si>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</si>
  <si>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</si>
  <si>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</si>
  <si>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</si>
  <si>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</si>
  <si>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</si>
  <si>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</si>
  <si>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</si>
  <si>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</si>
  <si>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</si>
  <si>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</si>
  <si>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</si>
  <si>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</si>
  <si>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</si>
  <si>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</si>
  <si>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</si>
  <si>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</si>
  <si>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</si>
  <si>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</si>
  <si>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</si>
  <si>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</si>
  <si>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</si>
  <si>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</si>
  <si>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</si>
  <si>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</si>
  <si>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</si>
  <si>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</si>
  <si>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</si>
  <si>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</si>
  <si>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</si>
  <si>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</si>
  <si>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</si>
  <si>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</si>
  <si>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</si>
  <si>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</si>
  <si>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</si>
  <si>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</si>
  <si>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</si>
  <si>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</si>
  <si>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</si>
  <si>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</si>
  <si>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</si>
  <si>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</si>
  <si>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</si>
  <si>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</si>
  <si>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</si>
  <si>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</si>
  <si>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</si>
  <si>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</si>
  <si>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</si>
  <si>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</si>
  <si>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</si>
  <si>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</si>
  <si>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</si>
  <si>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</si>
  <si>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</si>
  <si>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</si>
  <si>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</si>
  <si>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</si>
  <si>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</si>
  <si>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</si>
  <si>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</si>
  <si>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</si>
  <si>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</si>
  <si>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</si>
  <si>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</si>
  <si>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</si>
  <si>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</si>
  <si>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</si>
  <si>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</si>
  <si>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</si>
  <si>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</si>
  <si>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</si>
  <si>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</si>
  <si>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Kedvezmények összesen</t>
  </si>
  <si>
    <t>Étkezési díj</t>
  </si>
  <si>
    <t>Gondozási díj</t>
  </si>
  <si>
    <t>ÁH belüli megelőlegezések visszafizetései</t>
  </si>
  <si>
    <t>6.3</t>
  </si>
  <si>
    <t>Beled Ált.Isk.Diákönk.</t>
  </si>
  <si>
    <t>egyéb</t>
  </si>
  <si>
    <t>telj. %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</si>
  <si>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</si>
  <si>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</si>
  <si>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</si>
  <si>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</si>
  <si>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</si>
  <si>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</si>
  <si>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</si>
  <si>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</si>
  <si>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</si>
  <si>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</si>
  <si>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</si>
  <si>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Szociális tűzifa (2015. évről áthúzódó)</t>
  </si>
  <si>
    <t>Forintban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</si>
  <si>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</si>
  <si>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</si>
  <si>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</si>
  <si>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</si>
  <si>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</si>
  <si>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</si>
  <si>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</si>
  <si>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</si>
  <si>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</si>
  <si>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</si>
  <si>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</si>
  <si>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</si>
  <si>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</si>
  <si>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</si>
  <si>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</si>
  <si>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</si>
  <si>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</si>
  <si>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</si>
  <si>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</si>
  <si>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</si>
  <si>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</si>
  <si>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</si>
  <si>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</si>
  <si>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</si>
  <si>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</si>
  <si>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</si>
  <si>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</si>
  <si>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</si>
  <si>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</si>
  <si>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</si>
  <si>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</si>
  <si>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</si>
  <si>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</si>
  <si>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</si>
  <si>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</si>
  <si>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Civil szervezetek támogatása (képviselői felajánlásból)</t>
  </si>
  <si>
    <t>Egyházak támogatása (képviselői felajánlásból)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</si>
  <si>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</si>
  <si>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</si>
  <si>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</si>
  <si>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</si>
  <si>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</si>
  <si>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</si>
  <si>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</si>
  <si>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Szünidei gyermekétkeztetés (Gyvt. 21/C. §)</t>
  </si>
  <si>
    <t>Beled Sportegyesület "rezsitámogatás"</t>
  </si>
  <si>
    <t>Tárgyi eszközök értékesítése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</si>
  <si>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</si>
  <si>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</si>
  <si>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Forgatási célú értékpapírból származó bevétel</t>
  </si>
  <si>
    <t xml:space="preserve">BERUHÁZÁSOK (ÁFA-val) </t>
  </si>
  <si>
    <t>Beledi Katolikus Egyházközség</t>
  </si>
  <si>
    <t>Beledi Evangélikus Egyházközség</t>
  </si>
  <si>
    <t>Beled Sportegyesület műfüves pálya műszaki ellenőrzése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</si>
  <si>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</si>
  <si>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</si>
  <si>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</si>
  <si>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</si>
  <si>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</si>
  <si>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</si>
  <si>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Önkormányzaton belül megvalósuló projektek (támogatási szerződéssel rendelkező)</t>
  </si>
  <si>
    <t xml:space="preserve">Bevételek </t>
  </si>
  <si>
    <t xml:space="preserve">Kiadások </t>
  </si>
  <si>
    <t>Projekt megvalósítás</t>
  </si>
  <si>
    <t>Összes bevétel</t>
  </si>
  <si>
    <t>Összes kiadás</t>
  </si>
  <si>
    <t>Helyi termelői piac kialakítása Beleden</t>
  </si>
  <si>
    <t>Beled Város Önkormányzata ASP központhoz való csatlakozása</t>
  </si>
  <si>
    <t>Saját forrás</t>
  </si>
  <si>
    <t>Emberi Erőforrás Támogatáskezelő</t>
  </si>
  <si>
    <t>Fidesz-Magyar Polgári Szövetség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</si>
  <si>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</si>
  <si>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</si>
  <si>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</si>
  <si>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</si>
  <si>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Közúti személyszállítás (kerékpárút)</t>
  </si>
  <si>
    <t>Lakásfenntartással, lakhatással összefüggő ellátások (szociális tűzifa)</t>
  </si>
  <si>
    <t>Államháztartáson belüli megelőlegezés</t>
  </si>
  <si>
    <t>Szociális tűzifa (2017)</t>
  </si>
  <si>
    <t>"Elre" Horgász Egyesület 2017. évről áthúzódó</t>
  </si>
  <si>
    <t>Beledi Szociális és Gyermekjóléti Társulás 2017. évi hozzájárulás elszámolás</t>
  </si>
  <si>
    <t>TOP-1.1.3-15-GM1-2017-00008</t>
  </si>
  <si>
    <t xml:space="preserve">2. számú melléklet </t>
  </si>
  <si>
    <t xml:space="preserve">3. számú melléklet </t>
  </si>
  <si>
    <t xml:space="preserve">4. számú melléklet </t>
  </si>
  <si>
    <t>EFOP-1.5.2 művelődési ház felújítása</t>
  </si>
  <si>
    <t>H</t>
  </si>
  <si>
    <t>TOP pályázat - Piac kialakítása</t>
  </si>
  <si>
    <t>Intézményen kívüli gyermekétkeztetés (szünidei)</t>
  </si>
  <si>
    <t>EFOP-1.5.2 pályázat - Humán szolgáltatások fejlesztése</t>
  </si>
  <si>
    <t>Beled Sportegyesület</t>
  </si>
  <si>
    <t>Fogorvosi ügyelet Soproni Szociális Intézmény</t>
  </si>
  <si>
    <t>Mozgáskorlátozottak Győr-Moson-Sopron Megyei Egyesülete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</si>
  <si>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</si>
  <si>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</si>
  <si>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</si>
  <si>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</si>
  <si>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</si>
  <si>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</si>
  <si>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C</t>
  </si>
  <si>
    <t>D</t>
  </si>
  <si>
    <t>E</t>
  </si>
  <si>
    <t>G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</si>
  <si>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</si>
  <si>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</si>
  <si>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</si>
  <si>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</si>
  <si>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</si>
  <si>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</si>
  <si>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16.</t>
  </si>
  <si>
    <t>17.</t>
  </si>
  <si>
    <t>Egyéb (Pl.: garancia és kezességvállalás, stb.)</t>
  </si>
  <si>
    <t>2020.</t>
  </si>
  <si>
    <t xml:space="preserve">Összesen </t>
  </si>
  <si>
    <t>Hiteltörlesztés (2016. évi)</t>
  </si>
  <si>
    <t xml:space="preserve">12. számú melléklet </t>
  </si>
  <si>
    <t xml:space="preserve">1. számú melléklet </t>
  </si>
  <si>
    <t>Elszámolásból származó bevétel</t>
  </si>
  <si>
    <t>Önkormányzati bérkompenzáció</t>
  </si>
  <si>
    <t xml:space="preserve">5.2 számú melléklet </t>
  </si>
  <si>
    <t xml:space="preserve">5.1 számú melléklet </t>
  </si>
  <si>
    <t>nettó</t>
  </si>
  <si>
    <t>áfa</t>
  </si>
  <si>
    <t>Út, autópálya építése</t>
  </si>
  <si>
    <t>Egyéb szociális ellátások (szociális tűzifa)</t>
  </si>
  <si>
    <t>Magyar Védőnők Egyesülete</t>
  </si>
  <si>
    <t xml:space="preserve">Beledi Általános Iskola Diákjaiért Közalapítvány </t>
  </si>
  <si>
    <t xml:space="preserve">Európai Uniós támogatással megvalósuló  programok, projektek bevételei és kiadásai  </t>
  </si>
  <si>
    <t>KÖFOP-1.2.1-VEKOP-16-2019-00870</t>
  </si>
  <si>
    <t>Beled Város Önkéntes Tűzoltó Egyesülete</t>
  </si>
  <si>
    <t>01. Helyi önkormányzatok működésének általános támogatása</t>
  </si>
  <si>
    <t>2021.</t>
  </si>
  <si>
    <t>Önkormányzat összevont 2020. évi bevételi előirányzatai</t>
  </si>
  <si>
    <t>2020. évi belső forrásból fedezhető működési hiány</t>
  </si>
  <si>
    <t xml:space="preserve">2020. évi belső  forrásból fedezhető felhalmozási hiány </t>
  </si>
  <si>
    <t>2020. évi belső forrásból fedezhető összes hiány (1.+2.)</t>
  </si>
  <si>
    <t xml:space="preserve">2020. évi külső forrásból fedezhető működési hiány </t>
  </si>
  <si>
    <t xml:space="preserve">2020. évi külső forrásból fedezhető felhalmozási hiány </t>
  </si>
  <si>
    <t>2020. évi külső forrásból fedezhető összes hiány (1.+2.)</t>
  </si>
  <si>
    <t>Önkormányzat 2020. évi bevételi előirányzatai</t>
  </si>
  <si>
    <t>Önkormányzat 2020. évi kiadási előirányzatai</t>
  </si>
  <si>
    <t>Önkormányzat költségvetési szerveinek 2020. évi létszámkerete</t>
  </si>
  <si>
    <t>2020. január 1.</t>
  </si>
  <si>
    <t>2020. június 30.</t>
  </si>
  <si>
    <t>2020. december 31.</t>
  </si>
  <si>
    <t xml:space="preserve">2020. év </t>
  </si>
  <si>
    <t>2020. év</t>
  </si>
  <si>
    <t>Beledi Szociális és Gyermekjóléti Társulás 2020. évi hozzájárulás</t>
  </si>
  <si>
    <t>2020. évi előirányzat</t>
  </si>
  <si>
    <t>Előirányzat-felhasználási terv
2020. évre</t>
  </si>
  <si>
    <t>A 2020. évi általános működési és ágazati feladatok támogatásának alakulása jogcímenként</t>
  </si>
  <si>
    <t>2020. előtti kifizetés</t>
  </si>
  <si>
    <t>Fűnyírótaraktor beszerzése</t>
  </si>
  <si>
    <t>Jármű beszerzése</t>
  </si>
  <si>
    <t>Székelykapu beszerzése</t>
  </si>
  <si>
    <t>EFOP 152 célcsoport programjaihoz kapcsolódó eszközök</t>
  </si>
  <si>
    <t>Magyar Falu Program -  vicai faluház újraépítése</t>
  </si>
  <si>
    <t>MFP - Egészségház felújítása</t>
  </si>
  <si>
    <t>MFP óvodaudvar - kerítésfelújítás</t>
  </si>
  <si>
    <t>Gyöngyvirág üzletház felújítása</t>
  </si>
  <si>
    <t>19.</t>
  </si>
  <si>
    <t>EFOP-1.5.2-16-2017-00023 Beled és térsége humán szolgáltatásainak fejlesztése</t>
  </si>
  <si>
    <t>EFOP-1.5.2-16-2017-00023</t>
  </si>
  <si>
    <t>Beled és térsége humán szolgáltatásainak fejlesztése</t>
  </si>
  <si>
    <t>KEHOP-1.2.1-18-2018-00148</t>
  </si>
  <si>
    <t xml:space="preserve"> Szövetségben az éghajlat védelméért Beled és Répceszemere településeken</t>
  </si>
  <si>
    <t>Közfoglalkoztatás</t>
  </si>
  <si>
    <t>KEHOP</t>
  </si>
  <si>
    <t>Településfejlesztési projektek</t>
  </si>
  <si>
    <t>Mosonmagyaróvár Nagytérségi Hulladékgazdálkodási Társulás</t>
  </si>
  <si>
    <t>Beledi Ezüstfenyő Nyugdíjas Egyesület</t>
  </si>
  <si>
    <t xml:space="preserve">II.1,4. Óvodapedagógusok  és a nevelőmunkát közvetlenül támogatók bértámogatása </t>
  </si>
  <si>
    <t>2 a.) Család- és gyermekjóléti szolgálat</t>
  </si>
  <si>
    <t>2 c.) Szociális étkeztetés</t>
  </si>
  <si>
    <t>2 da.) Házi segítégnyújtás - szociális segítés</t>
  </si>
  <si>
    <t>2 db.) Házi segítégnyújtás - személyi gondozás</t>
  </si>
  <si>
    <t>2 jb.) Családi bölcsőde</t>
  </si>
  <si>
    <t>2 f.) Időskorúak nappali intézményi ellátása</t>
  </si>
  <si>
    <t>2022.</t>
  </si>
  <si>
    <t>2022. után</t>
  </si>
  <si>
    <t>2019</t>
  </si>
  <si>
    <t>14. számú melléklet</t>
  </si>
  <si>
    <t>Kapuvári Óvodáskorú Gyermekekért Alapítvány</t>
  </si>
  <si>
    <t>Kapuvári Sportegyesüet Kyokushin Karate Szakosztály (beledi csoport)</t>
  </si>
  <si>
    <t xml:space="preserve">MFP útfelújítás </t>
  </si>
  <si>
    <t>Vörösmarty utca járda építése</t>
  </si>
  <si>
    <t>nyitott autóbeálló vicai tűzoltószertárhoz</t>
  </si>
  <si>
    <t>kandeláber és hozzá tartozó gömb izzó beszerzése (viharkár miatt)</t>
  </si>
  <si>
    <t xml:space="preserve">Kulturális ágazati pótlék </t>
  </si>
  <si>
    <t>MFP- óvodaudvar játékok beszerzése (2020)</t>
  </si>
  <si>
    <t>Kiegészítő támogatás (I. 1.a)</t>
  </si>
  <si>
    <t>Kiegészítő támogatás (II.)</t>
  </si>
  <si>
    <t>Kiegészítő támogatás (III.2. a-m)</t>
  </si>
  <si>
    <t>III.2 Egyes szociális és gyermekjóléti feladatok támogatás</t>
  </si>
  <si>
    <t>Kiegészítő támogatás (III.3.)</t>
  </si>
  <si>
    <t>III.3.a. Bölcsőde bértámogatás</t>
  </si>
  <si>
    <t>III.3.b. Bölcsőde üzemeltetési támogatás</t>
  </si>
  <si>
    <t>Kiegészítő támogatás (IV.)</t>
  </si>
  <si>
    <t>Kiegészítő támogatás (III.5.)</t>
  </si>
  <si>
    <t>Könyvtári érdekeltségnövelő támogatás</t>
  </si>
  <si>
    <t>MFP - orvosi eszközök beszerzése (2020)</t>
  </si>
  <si>
    <t>Beledi Általános Iskola Diákjaiért Közalapítvány 2019. évi áthúzódó</t>
  </si>
  <si>
    <t>"Előre" Horgász Egyesület</t>
  </si>
  <si>
    <t>A remény hal meg utoljára alapítvány</t>
  </si>
  <si>
    <t>Beled 1912 Sport Egyesület</t>
  </si>
  <si>
    <t>Beled Város Önkéntes Tűzoltóegyesülete</t>
  </si>
  <si>
    <t>Beledi Delta Testépítő Klub</t>
  </si>
  <si>
    <t>Magyar Máltai Szeretetszolgálat</t>
  </si>
  <si>
    <t>Rábaköz Ifjúságáért Egyesület</t>
  </si>
  <si>
    <t>Rábaköz Vidékfejlesztési Egyesület</t>
  </si>
  <si>
    <t>Győri Egyházmegyei Levéltár</t>
  </si>
  <si>
    <t>Egészségház eszközök - önerős</t>
  </si>
  <si>
    <t>Konyha bővítése és eszközbeszerzés</t>
  </si>
  <si>
    <t xml:space="preserve">bútor óvodai csoportba </t>
  </si>
  <si>
    <t>napernyők fogantyúval óvodába</t>
  </si>
  <si>
    <t>zsúrkocsi óvodába</t>
  </si>
  <si>
    <t>szék, fektetőtartó, lepedő, fektető vásárlása óvodába</t>
  </si>
  <si>
    <t>MFP 2020 Beled temető gyalogjárda felújítása</t>
  </si>
  <si>
    <t>MFP 2020 Művelődési ház felújítása</t>
  </si>
  <si>
    <t>MFP 2020 Rákóczi utca útfelújítás</t>
  </si>
  <si>
    <t>Kerékpáros Centrum 16m2 járdakialakítás térkövezési munkái</t>
  </si>
  <si>
    <t>Önkormányzati vagyongazdálkodás</t>
  </si>
  <si>
    <t>Piac üzemeltetése</t>
  </si>
  <si>
    <t>Gyermekétkeztetés köznevelési intézményben</t>
  </si>
  <si>
    <t>Lakhatási támogatás EFOP-1.5.2</t>
  </si>
  <si>
    <t>Szociális tüzelőanyag vásárlása</t>
  </si>
  <si>
    <t>2020</t>
  </si>
  <si>
    <t>2018</t>
  </si>
  <si>
    <t>18.</t>
  </si>
  <si>
    <t>20.</t>
  </si>
  <si>
    <t>21.</t>
  </si>
  <si>
    <t>22.</t>
  </si>
  <si>
    <t>23.</t>
  </si>
  <si>
    <t>11. számú melléklet</t>
  </si>
  <si>
    <t>Maradványkimutatás</t>
  </si>
  <si>
    <t>Közös Hivatal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</si>
  <si>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</si>
  <si>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</si>
  <si>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</si>
  <si>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</si>
  <si>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</si>
  <si>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 xml:space="preserve">Alaptevékenység finanszírozási egyenlege </t>
  </si>
  <si>
    <t xml:space="preserve">Alaptevékenység maradványa </t>
  </si>
  <si>
    <t xml:space="preserve">Összes maradvány </t>
  </si>
  <si>
    <t>Alaptevékenység kötelezettségvállalással terhelt maradványa</t>
  </si>
  <si>
    <t xml:space="preserve">Alaptevékenység szabad maradványa </t>
  </si>
  <si>
    <t>12. számú melléklet</t>
  </si>
  <si>
    <t>Beled Város Önkormányzata</t>
  </si>
  <si>
    <t>Mérleg</t>
  </si>
  <si>
    <t>Konszolidált mérleg</t>
  </si>
  <si>
    <t>Előző időszak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</si>
  <si>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</si>
  <si>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</si>
  <si>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</si>
  <si>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</si>
  <si>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</si>
  <si>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</si>
  <si>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</si>
  <si>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</si>
  <si>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</si>
  <si>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</si>
  <si>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</si>
  <si>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</si>
  <si>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</si>
  <si>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</si>
  <si>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</si>
  <si>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</si>
  <si>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</si>
  <si>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</si>
  <si>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</si>
  <si>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</si>
  <si>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</si>
  <si>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</si>
  <si>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</si>
  <si>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</si>
  <si>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</si>
  <si>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</si>
  <si>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</si>
  <si>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D/I/4c - ebből: költségvetési évben esedékes követelések ellátási díjakra</t>
  </si>
  <si>
    <t>D/I/4d - ebből: költségvetési évben esedékes követelések kiszámlázott általános forgalmi adóra</t>
  </si>
  <si>
    <t>D/I Költségvetési évben esedékes követelések (=D/I/1+…+D/I/8)</t>
  </si>
  <si>
    <t>D/III/1 Adott előlegek (=D/III/1a+…+D/III/1f)</t>
  </si>
  <si>
    <t>D/III/1c - ebből: készletekre adott előlegek</t>
  </si>
  <si>
    <t>D/III/1e - ebből: foglalkoztatottaknak adott előlegek</t>
  </si>
  <si>
    <t>D/III/4 Forgótőke elszámolása</t>
  </si>
  <si>
    <t>D/III/5 Vagyonkezelésbe adott eszközökkel kapcsolatos visszapótlási követelés elszámolása</t>
  </si>
  <si>
    <t>D/III Követelés jellegű sajátos elszámolások (=D/III/1+…+D/III/9)</t>
  </si>
  <si>
    <t>D) KÖVETELÉSEK  (=D/I+D/II+D/III)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</si>
  <si>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</si>
  <si>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</si>
  <si>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</si>
  <si>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</si>
  <si>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</si>
  <si>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</si>
  <si>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</si>
  <si>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</si>
  <si>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</si>
  <si>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</si>
  <si>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</si>
  <si>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H/I/3 Költségvetési évben esedékes kötelezettségek dologi kiadásokra</t>
  </si>
  <si>
    <t>H/I/7 Költségvetési évben esedékes kötelezettségek felújításokra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</si>
  <si>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</si>
  <si>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</si>
  <si>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</si>
  <si>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</si>
  <si>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</si>
  <si>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</si>
  <si>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</si>
  <si>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</si>
  <si>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</si>
  <si>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</si>
  <si>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</si>
  <si>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</si>
  <si>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</si>
  <si>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</si>
  <si>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VAGYONKIMUTATÁS                                                                                                                                                                                            a könyvviteli mérlegben  értékkel szereplő eszközökről                                                                                                                              2020. év</t>
  </si>
  <si>
    <t>Adatok:  forintban!</t>
  </si>
  <si>
    <t>ESZKÖZÖK</t>
  </si>
  <si>
    <t>Bruttó</t>
  </si>
  <si>
    <t>Nettó</t>
  </si>
  <si>
    <t xml:space="preserve"> érték</t>
  </si>
  <si>
    <t xml:space="preserve">A </t>
  </si>
  <si>
    <t xml:space="preserve"> I. Immateriális javak (02+03+04+05)</t>
  </si>
  <si>
    <t>01.</t>
  </si>
  <si>
    <t>1.1. Forgalomképtelen immateriális javak</t>
  </si>
  <si>
    <t>02.</t>
  </si>
  <si>
    <t>1.2. Nemzetgazdasági szempontból kiemelt jelentőségű  immateriális javak
       vagyoni értékű jogok</t>
  </si>
  <si>
    <t>03.</t>
  </si>
  <si>
    <t>1.3. Korlátozottan forgalomképes immateriális javak</t>
  </si>
  <si>
    <t>04.</t>
  </si>
  <si>
    <t>1.4. Üzleti ingatlanok és kapcsolódó  immateriális javak</t>
  </si>
  <si>
    <t>05.</t>
  </si>
  <si>
    <t>II. Tárgyi eszközök (07+12+17+22+27)</t>
  </si>
  <si>
    <t>06.</t>
  </si>
  <si>
    <t>1. Ingatlanok és kapcsolódó vagyoni értékű jogok   (08+09+10+11)</t>
  </si>
  <si>
    <t>07.</t>
  </si>
  <si>
    <t>1.1. Forgalomképtelen ingatlanok és kapcsolódó vagyoni értékű jogok</t>
  </si>
  <si>
    <t>08.</t>
  </si>
  <si>
    <t>1.2. Nemzetgazdasági szempontból kiemelt jelentőségű ingatlanok és kapcsolódó 
       vagyoni értékű jogok</t>
  </si>
  <si>
    <t>09.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</si>
  <si>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</si>
  <si>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</si>
  <si>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(13+14+15+16)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</si>
  <si>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</si>
  <si>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</si>
  <si>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</si>
  <si>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</si>
  <si>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(18+19+20+21)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</si>
  <si>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</si>
  <si>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</si>
  <si>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</si>
  <si>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</si>
  <si>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(23+24+25+26)</t>
  </si>
  <si>
    <t>4.1. Forgalomképtelen beruházások, felújítások</t>
  </si>
  <si>
    <t>4.2. Nemzetgazdasági szempontból kiemelt jelentőségű beruházások, felújítások</t>
  </si>
  <si>
    <t>24.</t>
  </si>
  <si>
    <t>4.3. Korlátozottan forgalomképes beruházások, felújítások</t>
  </si>
  <si>
    <t>25.</t>
  </si>
  <si>
    <t>4.4. Üzleti beruházások, felújítások</t>
  </si>
  <si>
    <t>26.</t>
  </si>
  <si>
    <t>5. Tárgyi eszközök értékhelyesbítése (28+29+30+31)</t>
  </si>
  <si>
    <t>27.</t>
  </si>
  <si>
    <t>5.1. Forgalomképtelen tárgyi eszközök értékhelyesbítése</t>
  </si>
  <si>
    <t>28.</t>
  </si>
  <si>
    <t>5.2. Nemzetgazdasági szempontból kiemelt jelentőségű tárgyi eszközök 
       értékhelyesbítése</t>
  </si>
  <si>
    <t>29.</t>
  </si>
  <si>
    <t>5.3. Korlátozottan forgalomképes tárgyi eszközök értékhelyesbítése</t>
  </si>
  <si>
    <t>30.</t>
  </si>
  <si>
    <t>5.4. Üzleti tárgyi eszközök értékhelyesbítése</t>
  </si>
  <si>
    <t>31.</t>
  </si>
  <si>
    <t>III. Befektetett pénzügyi eszközök (33+38+43)</t>
  </si>
  <si>
    <t>32.</t>
  </si>
  <si>
    <t>1. Tartós részesedések (34+35+36+37)</t>
  </si>
  <si>
    <t>33.</t>
  </si>
  <si>
    <t>1.1. Forgalomképtelen tartós részesedések</t>
  </si>
  <si>
    <t>34.</t>
  </si>
  <si>
    <t>1.2. Nemzetgazdasági szempontból kiemelt jelentőségű tartós részesedések</t>
  </si>
  <si>
    <t>35.</t>
  </si>
  <si>
    <t>1.3. Korlátozottan forgalomképes tartós részesedések</t>
  </si>
  <si>
    <t>36.</t>
  </si>
  <si>
    <t>1.4. Üzleti tartós részesedések</t>
  </si>
  <si>
    <t>37.</t>
  </si>
  <si>
    <t>2. Tartós hitelviszonyt megtestesítő értékpapírok (39+40+41+42)</t>
  </si>
  <si>
    <t>38.</t>
  </si>
  <si>
    <t>2.1. Forgalomképtelen tartós hitelviszonyt megtestesítő értékpapírok</t>
  </si>
  <si>
    <t>39.</t>
  </si>
  <si>
    <t>2.2. Nemzetgazdasági szempontból kiemelt jelentőségű tartós hitelviszonyt 
       megtestesítő értékpapírok</t>
  </si>
  <si>
    <t>40.</t>
  </si>
  <si>
    <t>2.3. Korlátozottan forgalomképes tartós hitelviszonyt megtestesítő értékpapírok</t>
  </si>
  <si>
    <t>41.</t>
  </si>
  <si>
    <t>2.4. Üzleti tartós hitelviszonyt megtestesítő értékpapírok</t>
  </si>
  <si>
    <t>42.</t>
  </si>
  <si>
    <t>3. Befektetett pénzügyi eszközök értékhelyesbítése (44+45+46+47)</t>
  </si>
  <si>
    <t>43.</t>
  </si>
  <si>
    <t>3.1. Forgalomképtelen befektetett pénzügyi eszközök értékhelyesbítése</t>
  </si>
  <si>
    <t>44.</t>
  </si>
  <si>
    <t>3.2. Nemzetgazdasági szempontból kiemelt jelentőségű befektetett pénzügyi 
       eszközök értékhelyesbítése</t>
  </si>
  <si>
    <t>45.</t>
  </si>
  <si>
    <t>3.3. Korlátozottan forgalomképes befektetett pénzügyi eszközök értékhelyesbítése</t>
  </si>
  <si>
    <t>46.</t>
  </si>
  <si>
    <t>3.4. Üzleti befektetett pénzügyi eszközök értékhelyesbítése</t>
  </si>
  <si>
    <t>47.</t>
  </si>
  <si>
    <t>IV. Koncesszióba, vagyonkezelésbe adott eszközök</t>
  </si>
  <si>
    <t>48.</t>
  </si>
  <si>
    <t>A) NEMZETI VAGYONBA TARTOZÓ BEFEKTETETT ESZKÖZÖK 
     (01+06+32+48)</t>
  </si>
  <si>
    <t>49.</t>
  </si>
  <si>
    <t>I. Készletek</t>
  </si>
  <si>
    <t>50.</t>
  </si>
  <si>
    <t>II. Értékpapírok</t>
  </si>
  <si>
    <t>51.</t>
  </si>
  <si>
    <t>B) NEMZETI VAGYONBA TARTOZÓ FORGÓESZKÖZÖK (50+51)</t>
  </si>
  <si>
    <t>52.</t>
  </si>
  <si>
    <t>I. Lekötött bankbetétek</t>
  </si>
  <si>
    <t>53.</t>
  </si>
  <si>
    <t>II. Pénztárak, csekkek, betétkönyvek</t>
  </si>
  <si>
    <t>54.</t>
  </si>
  <si>
    <t>III. Forintszámlák</t>
  </si>
  <si>
    <t>55.</t>
  </si>
  <si>
    <t>IV. Devizaszámlák</t>
  </si>
  <si>
    <t>56.</t>
  </si>
  <si>
    <t>V. Idegen pénzeszköz</t>
  </si>
  <si>
    <t>57.</t>
  </si>
  <si>
    <t>C) PÉNZESZKÖZÖK (53+54+55+56+57)</t>
  </si>
  <si>
    <t>58.</t>
  </si>
  <si>
    <t>I. Költségvetési évben esedékes követelések</t>
  </si>
  <si>
    <t>59.</t>
  </si>
  <si>
    <t>II. Költségvetési évet követően esedékes követelések</t>
  </si>
  <si>
    <t>60.</t>
  </si>
  <si>
    <t>III. Követelés jellegű sajátos elszámolások</t>
  </si>
  <si>
    <t>61.</t>
  </si>
  <si>
    <t>D) KÖVETELÉSEK (59+60+61)</t>
  </si>
  <si>
    <t>62.</t>
  </si>
  <si>
    <t>I. December havi illetmények, munkabérek elszámolása</t>
  </si>
  <si>
    <t>63.</t>
  </si>
  <si>
    <t>II. Utalványok, bérletek és más hasonló, készpénz-helyettesítő fizetési 
     eszköznek nem minősülő eszközök elszámolásai</t>
  </si>
  <si>
    <t>64.</t>
  </si>
  <si>
    <t>E) EGYÉB SAJÁTOS ESZKÖZOLDALI ELSZÁMOLÁSOK (63+64)</t>
  </si>
  <si>
    <t>65.</t>
  </si>
  <si>
    <t>F) AKTÍV IDŐBELI ELHATÁROLÁSOK</t>
  </si>
  <si>
    <t>66.</t>
  </si>
  <si>
    <t>ESZKÖZÖK ÖSSZESEN  (49+52+58+62+65+66)</t>
  </si>
  <si>
    <t>67.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</si>
  <si>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</si>
  <si>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</si>
  <si>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</si>
  <si>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</si>
  <si>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</si>
  <si>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</si>
  <si>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</si>
  <si>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</si>
  <si>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</si>
  <si>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</si>
  <si>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</si>
  <si>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</si>
  <si>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</si>
  <si>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</si>
  <si>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</si>
  <si>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</si>
  <si>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Beledi Közös Önkormányzati Hivatal</t>
  </si>
  <si>
    <t>VAGYONKIMUTATÁS            az érték nélkül nyilvántartott eszközökről                                                                                                                                           2020. év</t>
  </si>
  <si>
    <t>Adatok: forintban!</t>
  </si>
  <si>
    <t>Mennyiség
(db)</t>
  </si>
  <si>
    <t>Bruttó értéke</t>
  </si>
  <si>
    <t>Könyv szerinti értéke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</si>
  <si>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</si>
  <si>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</si>
  <si>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</si>
  <si>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</si>
  <si>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</si>
  <si>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</si>
  <si>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</si>
  <si>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</si>
  <si>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</si>
  <si>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</si>
  <si>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</si>
  <si>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</si>
  <si>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</si>
  <si>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</si>
  <si>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</si>
  <si>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</si>
  <si>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</si>
  <si>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</si>
  <si>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</si>
  <si>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VAGYONKIMUTATÁS                 az érték nélkül nyilvántartott eszközökről                                                                                                                                           2020. év</t>
  </si>
  <si>
    <t>VAGYONKIMUTATÁS     az érték nélkül nyilvántartott eszközökről                                                                                                                                           2020. év</t>
  </si>
  <si>
    <t>Önkormányzat adósságot keletkeztető ügyletekből és kezességvállalásokból fennálló kötelezettségei</t>
  </si>
  <si>
    <t>MEGNEVEZÉS</t>
  </si>
  <si>
    <t>Évek</t>
  </si>
  <si>
    <t>Ifjúság utca felújítása</t>
  </si>
  <si>
    <t>ÖSSZES KÖTELEZETTSÉG</t>
  </si>
  <si>
    <t xml:space="preserve">15. számú melléklet </t>
  </si>
  <si>
    <t>16. számú melléklet</t>
  </si>
  <si>
    <t>Az önkormányzat által felvett adósságállomány alakulása</t>
  </si>
  <si>
    <t>lejárat és eszközök szerinti bontásban</t>
  </si>
  <si>
    <t xml:space="preserve">Adatok  forintban </t>
  </si>
  <si>
    <t>Hitel jellege</t>
  </si>
  <si>
    <t>Hitel folyósítója</t>
  </si>
  <si>
    <t>Felvétel</t>
  </si>
  <si>
    <t xml:space="preserve">Lejárat </t>
  </si>
  <si>
    <t>Hitelállomány dec. 31-én</t>
  </si>
  <si>
    <t xml:space="preserve"> éve</t>
  </si>
  <si>
    <t>éve</t>
  </si>
  <si>
    <t xml:space="preserve">Működési célú </t>
  </si>
  <si>
    <t>Igénybevett folyószámla hitel</t>
  </si>
  <si>
    <t>Felhalmozási célú</t>
  </si>
  <si>
    <t>Fejlesztési célú hosszú lejáratú hitel Ifjúság utca útfelújításához</t>
  </si>
  <si>
    <t>Kis-Rába Menti Tak.Szöv.</t>
  </si>
  <si>
    <t>2016.</t>
  </si>
  <si>
    <t>2019.</t>
  </si>
  <si>
    <t>17. melléklet</t>
  </si>
  <si>
    <t>Beled Város Önkormányata</t>
  </si>
  <si>
    <t>adósságot keletkeztető ügyleteiből eredő fizetési kötelezettség bemutatása</t>
  </si>
  <si>
    <t>Tárgyi eszközök, ingatlanok értékesítése</t>
  </si>
  <si>
    <t>Kezességvállalással kapcsolatos megtérülés</t>
  </si>
  <si>
    <t>Saját bevételek 50 %-a</t>
  </si>
  <si>
    <t>Adósságot keletkeztető ügyletek értéke</t>
  </si>
  <si>
    <t>2019. év előtti  ügyletből származó érték</t>
  </si>
  <si>
    <t>Hitel felvételből származó tőketartozás</t>
  </si>
  <si>
    <t>2019. évi ügyletből származó érték</t>
  </si>
  <si>
    <t>Hitelfelvétel</t>
  </si>
  <si>
    <t>Adósságot keletkeztető ügyletek összértéke</t>
  </si>
  <si>
    <t>Előző év(ek)ben keletkezett tárgyévet fizetési kötelzettség</t>
  </si>
  <si>
    <t>Tőkefizetési kötelezettség (2016. évi fejlesztési hitelfelvétel)</t>
  </si>
  <si>
    <t>Kamatfizetési kötelezettség (2016. évi fejlesztési hitelfelvétel)</t>
  </si>
  <si>
    <t>Egyéb fizetési kötelezettség (kezelési költség stb.)</t>
  </si>
  <si>
    <t>Előző év(ek)ben keletkezett tárgyévet fizetési kötelzettség összesen</t>
  </si>
  <si>
    <t>Tárgyévi fizetési kötelzettség</t>
  </si>
  <si>
    <t>Tőkefizetési kötelezettség</t>
  </si>
  <si>
    <t xml:space="preserve">Kamatfizetési kötelezettség </t>
  </si>
  <si>
    <t>Tárgyévi fizetési kötelzettség összesen</t>
  </si>
  <si>
    <t>Fizetési kötelezettséggel csökkentett saját bevétel</t>
  </si>
  <si>
    <t xml:space="preserve">18. számú melléklet </t>
  </si>
  <si>
    <t>19. számú melléklet</t>
  </si>
  <si>
    <t>Gazdasági Társaság</t>
  </si>
  <si>
    <t>Részesedések állománya</t>
  </si>
  <si>
    <t>Pannon-Víz Zrt.</t>
  </si>
  <si>
    <t>Beled COOP Kereskedelmi és Szolgáltató Rt</t>
  </si>
  <si>
    <t>Részesedések 2020.12.31.-i állománya</t>
  </si>
  <si>
    <t>22. számú melléklet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</si>
  <si>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</si>
  <si>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</si>
  <si>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Forintszámla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</si>
  <si>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</si>
  <si>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r>
      <t xml:space="preserve"> </t>
    </r>
    <r>
      <rPr>
        <sz val="10"/>
        <rFont val="Times New Roman CE"/>
        <family val="1"/>
      </rPr>
      <t>Devizaszámla egyenlege</t>
    </r>
  </si>
  <si>
    <r>
      <t xml:space="preserve"> </t>
    </r>
    <r>
      <rPr>
        <sz val="10"/>
        <rFont val="Times New Roman CE"/>
        <family val="1"/>
      </rPr>
      <t>Lekötött bankbetétek</t>
    </r>
  </si>
  <si>
    <t xml:space="preserve">23. számú melléklet </t>
  </si>
  <si>
    <t>Pénzkészlet 2020. január 1-jén
ebből:</t>
  </si>
  <si>
    <t>Záró pénzkészlet 2020. december 31-én
ebből:</t>
  </si>
  <si>
    <t>KEHOP-1.2.1-18-2018-00148  Szövetségben az éghajlat védelméért Beled és Répceszemere településeken</t>
  </si>
  <si>
    <t>B116 rovat bev.</t>
  </si>
  <si>
    <t>kapott támogatás</t>
  </si>
  <si>
    <t>elszámolás szerint megillető támogatás</t>
  </si>
  <si>
    <t>felhasznált támogatás</t>
  </si>
  <si>
    <t>következő évben jogszerűen felhasználható támogatási összeg</t>
  </si>
  <si>
    <t>támogatás kiutalás (+) / visszafizetés (-)</t>
  </si>
  <si>
    <t>B116</t>
  </si>
  <si>
    <t>E/I/2 Más előzetesen felszámított levonható általános forgalmi adó</t>
  </si>
  <si>
    <t>E/I Előzetesen felszámított általános forgalmi adó elszámolása (=E/I/1+…+E/I/4)</t>
  </si>
  <si>
    <t>H/III/8 Letétre, megőrzésre, fedezetkezelésre átvett pénzeszközök, biztosítékok</t>
  </si>
  <si>
    <t>Telj %</t>
  </si>
  <si>
    <t xml:space="preserve">6/b. számú melléklet </t>
  </si>
  <si>
    <t>Előre Horgász Egyesület</t>
  </si>
  <si>
    <t xml:space="preserve">8. számú melléklet  </t>
  </si>
  <si>
    <t>össz.kapott kieg támog</t>
  </si>
  <si>
    <t>11/A 33 sora</t>
  </si>
  <si>
    <t>különbség = bölcsödei kieg támog összegével</t>
  </si>
  <si>
    <t>kieg támog miatti visszafizetendő ö. 11/L űl.26.sor 3.oszlop</t>
  </si>
  <si>
    <t>Önkormányzatot megillető pótlólagos támog  11/L űl.27.sor 3.oszlop</t>
  </si>
  <si>
    <t>különbözet</t>
  </si>
  <si>
    <t>Költségvetési hiány, többlet ( költségvetési bevételek 7. sor - költségvetési kiadások 5. sor) (+/-)</t>
  </si>
  <si>
    <t xml:space="preserve">                                                                                                                                                  BELSŐ FORRÁS BEVONÁSÁVAL  FINANSZÍROZHATÓ HIÁNY ÖSSZEGE</t>
  </si>
  <si>
    <t>Egészségház eszközök</t>
  </si>
  <si>
    <t>Ifjúság utca járdatervezés</t>
  </si>
  <si>
    <t xml:space="preserve">7. számú melléklet </t>
  </si>
  <si>
    <t xml:space="preserve">9. számú melléklet </t>
  </si>
  <si>
    <t>10. számú melléklet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</si>
</sst>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General\ &quot; fő&quot;"/>
    <numFmt numFmtId="169" formatCode="#,###"/>
    <numFmt numFmtId="170" formatCode="#,##0_ ;\-#,##0\ "/>
    <numFmt numFmtId="171" formatCode="#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"/>
    <numFmt numFmtId="177" formatCode="[$€-2]\ #\ ##,000_);[Red]\([$€-2]\ #\ ##,000\)"/>
    <numFmt numFmtId="178" formatCode="###\ ###\ ###\ ###\ ##0.0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\ _F_t_-;\-* #,##0.0\ _F_t_-;_-* &quot;-&quot;??\ _F_t_-;_-@_-"/>
    <numFmt numFmtId="182" formatCode="_-* #,##0\ _F_t_-;\-* #,##0\ _F_t_-;_-* &quot;-&quot;??\ _F_t_-;_-@_-"/>
    <numFmt numFmtId="183" formatCode="00"/>
    <numFmt numFmtId="184" formatCode="#,###__;\-#,###__"/>
    <numFmt numFmtId="185" formatCode="#,###\ _F_t;\-#,###\ _F_t"/>
    <numFmt numFmtId="186" formatCode="#,###,_F_t;\-#,###,_F_t"/>
    <numFmt numFmtId="187" formatCode="#,###.00"/>
    <numFmt numFmtId="188" formatCode="#,###__"/>
    <numFmt numFmtId="189" formatCode="[$¥€-2]\ #\ ##,000_);[Red]\([$€-2]\ #\ ##,000\)"/>
  </numFmts>
  <fonts count="167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7"/>
      <name val="Times New Roman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6"/>
      <name val="Times New Roman CE"/>
      <family val="1"/>
    </font>
    <font>
      <b/>
      <sz val="12"/>
      <color indexed="10"/>
      <name val="Times New Roman"/>
      <family val="1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i/>
      <sz val="11"/>
      <color indexed="8"/>
      <name val="Calibri"/>
      <family val="2"/>
    </font>
    <font>
      <sz val="10"/>
      <name val="Wingdings"/>
      <family val="0"/>
    </font>
    <font>
      <b/>
      <sz val="11"/>
      <name val="Arial"/>
      <family val="2"/>
    </font>
    <font>
      <u val="single"/>
      <sz val="11"/>
      <color indexed="8"/>
      <name val="Calibri"/>
      <family val="2"/>
    </font>
    <font>
      <u val="single"/>
      <sz val="10"/>
      <name val="Arial CE"/>
      <family val="0"/>
    </font>
    <font>
      <u val="singleAccounting"/>
      <sz val="10"/>
      <name val="Arial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2"/>
      <color indexed="10"/>
      <name val="Arial CE"/>
      <family val="0"/>
    </font>
    <font>
      <sz val="16"/>
      <color indexed="63"/>
      <name val="Times New Roman"/>
      <family val="1"/>
    </font>
    <font>
      <sz val="8"/>
      <color indexed="63"/>
      <name val="Verdana"/>
      <family val="2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  <font>
      <sz val="12"/>
      <color rgb="FFFF0000"/>
      <name val="Arial CE"/>
      <family val="0"/>
    </font>
    <font>
      <sz val="16"/>
      <color rgb="FF333333"/>
      <name val="Times New Roman"/>
      <family val="1"/>
    </font>
    <font>
      <sz val="8"/>
      <color rgb="FF333333"/>
      <name val="Verdana"/>
      <family val="2"/>
    </font>
    <font>
      <sz val="12"/>
      <color theme="1"/>
      <name val="Arial CE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darkHorizontal"/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39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0" fillId="26" borderId="0" applyNumberFormat="0" applyBorder="0" applyAlignment="0" applyProtection="0"/>
    <xf numFmtId="0" fontId="94" fillId="12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0" borderId="0" applyNumberFormat="0" applyBorder="0" applyAlignment="0" applyProtection="0"/>
    <xf numFmtId="0" fontId="94" fillId="12" borderId="0" applyNumberFormat="0" applyBorder="0" applyAlignment="0" applyProtection="0"/>
    <xf numFmtId="0" fontId="94" fillId="9" borderId="0" applyNumberFormat="0" applyBorder="0" applyAlignment="0" applyProtection="0"/>
    <xf numFmtId="0" fontId="94" fillId="29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30" borderId="0" applyNumberFormat="0" applyBorder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  <xf numFmtId="0" fontId="105" fillId="33" borderId="0" applyNumberFormat="0" applyBorder="0" applyAlignment="0" applyProtection="0"/>
    <xf numFmtId="0" fontId="141" fillId="34" borderId="1" applyNumberFormat="0" applyAlignment="0" applyProtection="0"/>
    <xf numFmtId="0" fontId="107" fillId="35" borderId="2" applyNumberFormat="0" applyAlignment="0" applyProtection="0"/>
    <xf numFmtId="0" fontId="100" fillId="36" borderId="3" applyNumberFormat="0" applyAlignment="0" applyProtection="0"/>
    <xf numFmtId="0" fontId="142" fillId="0" borderId="0" applyNumberFormat="0" applyFill="0" applyBorder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5" fillId="0" borderId="6" applyNumberFormat="0" applyFill="0" applyAlignment="0" applyProtection="0"/>
    <xf numFmtId="0" fontId="145" fillId="0" borderId="0" applyNumberFormat="0" applyFill="0" applyBorder="0" applyAlignment="0" applyProtection="0"/>
    <xf numFmtId="0" fontId="146" fillId="37" borderId="7" applyNumberFormat="0" applyAlignment="0" applyProtection="0"/>
    <xf numFmtId="0" fontId="10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02" fillId="12" borderId="0" applyNumberFormat="0" applyBorder="0" applyAlignment="0" applyProtection="0"/>
    <xf numFmtId="0" fontId="97" fillId="0" borderId="8" applyNumberFormat="0" applyFill="0" applyAlignment="0" applyProtection="0"/>
    <xf numFmtId="0" fontId="98" fillId="0" borderId="9" applyNumberFormat="0" applyFill="0" applyAlignment="0" applyProtection="0"/>
    <xf numFmtId="0" fontId="99" fillId="0" borderId="10" applyNumberFormat="0" applyFill="0" applyAlignment="0" applyProtection="0"/>
    <xf numFmtId="0" fontId="9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8" fillId="0" borderId="11" applyNumberFormat="0" applyFill="0" applyAlignment="0" applyProtection="0"/>
    <xf numFmtId="0" fontId="95" fillId="19" borderId="2" applyNumberFormat="0" applyAlignment="0" applyProtection="0"/>
    <xf numFmtId="0" fontId="0" fillId="38" borderId="12" applyNumberFormat="0" applyFont="0" applyAlignment="0" applyProtection="0"/>
    <xf numFmtId="0" fontId="140" fillId="39" borderId="0" applyNumberFormat="0" applyBorder="0" applyAlignment="0" applyProtection="0"/>
    <xf numFmtId="0" fontId="140" fillId="40" borderId="0" applyNumberFormat="0" applyBorder="0" applyAlignment="0" applyProtection="0"/>
    <xf numFmtId="0" fontId="140" fillId="41" borderId="0" applyNumberFormat="0" applyBorder="0" applyAlignment="0" applyProtection="0"/>
    <xf numFmtId="0" fontId="140" fillId="42" borderId="0" applyNumberFormat="0" applyBorder="0" applyAlignment="0" applyProtection="0"/>
    <xf numFmtId="0" fontId="140" fillId="43" borderId="0" applyNumberFormat="0" applyBorder="0" applyAlignment="0" applyProtection="0"/>
    <xf numFmtId="0" fontId="140" fillId="44" borderId="0" applyNumberFormat="0" applyBorder="0" applyAlignment="0" applyProtection="0"/>
    <xf numFmtId="0" fontId="149" fillId="45" borderId="0" applyNumberFormat="0" applyBorder="0" applyAlignment="0" applyProtection="0"/>
    <xf numFmtId="0" fontId="150" fillId="46" borderId="13" applyNumberFormat="0" applyAlignment="0" applyProtection="0"/>
    <xf numFmtId="0" fontId="68" fillId="0" borderId="0" applyNumberFormat="0" applyFill="0" applyBorder="0" applyAlignment="0" applyProtection="0"/>
    <xf numFmtId="0" fontId="101" fillId="0" borderId="14" applyNumberFormat="0" applyFill="0" applyAlignment="0" applyProtection="0"/>
    <xf numFmtId="0" fontId="1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6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9" fillId="0" borderId="0">
      <alignment/>
      <protection/>
    </xf>
    <xf numFmtId="0" fontId="76" fillId="0" borderId="0">
      <alignment/>
      <protection/>
    </xf>
    <xf numFmtId="0" fontId="0" fillId="10" borderId="15" applyNumberFormat="0" applyAlignment="0" applyProtection="0"/>
    <xf numFmtId="0" fontId="103" fillId="35" borderId="16" applyNumberFormat="0" applyAlignment="0" applyProtection="0"/>
    <xf numFmtId="0" fontId="15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3" fillId="47" borderId="0" applyNumberFormat="0" applyBorder="0" applyAlignment="0" applyProtection="0"/>
    <xf numFmtId="0" fontId="154" fillId="48" borderId="0" applyNumberFormat="0" applyBorder="0" applyAlignment="0" applyProtection="0"/>
    <xf numFmtId="0" fontId="155" fillId="46" borderId="1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101" fillId="0" borderId="0" applyNumberFormat="0" applyFill="0" applyBorder="0" applyAlignment="0" applyProtection="0"/>
  </cellStyleXfs>
  <cellXfs count="21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3">
      <alignment/>
      <protection/>
    </xf>
    <xf numFmtId="0" fontId="17" fillId="0" borderId="0" xfId="103" applyFont="1" applyAlignment="1">
      <alignment horizontal="center"/>
      <protection/>
    </xf>
    <xf numFmtId="0" fontId="11" fillId="0" borderId="0" xfId="103" applyAlignment="1">
      <alignment vertical="center"/>
      <protection/>
    </xf>
    <xf numFmtId="0" fontId="13" fillId="0" borderId="0" xfId="103" applyFont="1">
      <alignment/>
      <protection/>
    </xf>
    <xf numFmtId="0" fontId="11" fillId="0" borderId="0" xfId="103" applyFont="1">
      <alignment/>
      <protection/>
    </xf>
    <xf numFmtId="0" fontId="11" fillId="0" borderId="0" xfId="103" applyFont="1" applyFill="1">
      <alignment/>
      <protection/>
    </xf>
    <xf numFmtId="0" fontId="0" fillId="0" borderId="0" xfId="0" applyFont="1" applyAlignment="1">
      <alignment wrapText="1"/>
    </xf>
    <xf numFmtId="0" fontId="33" fillId="0" borderId="0" xfId="104" applyFont="1" applyAlignment="1">
      <alignment horizontal="center" vertical="center"/>
      <protection/>
    </xf>
    <xf numFmtId="0" fontId="26" fillId="0" borderId="19" xfId="104" applyFont="1" applyBorder="1" applyAlignment="1">
      <alignment horizontal="left" vertical="center" wrapText="1"/>
      <protection/>
    </xf>
    <xf numFmtId="0" fontId="36" fillId="0" borderId="20" xfId="104" applyFont="1" applyBorder="1" applyAlignment="1">
      <alignment horizontal="center" vertical="center" wrapText="1"/>
      <protection/>
    </xf>
    <xf numFmtId="0" fontId="36" fillId="0" borderId="21" xfId="104" applyFont="1" applyBorder="1" applyAlignment="1">
      <alignment horizontal="center" vertical="center" wrapText="1"/>
      <protection/>
    </xf>
    <xf numFmtId="0" fontId="0" fillId="0" borderId="22" xfId="103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3" applyNumberFormat="1" applyAlignment="1">
      <alignment vertical="center"/>
      <protection/>
    </xf>
    <xf numFmtId="0" fontId="19" fillId="0" borderId="0" xfId="104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5" fillId="0" borderId="19" xfId="103" applyFont="1" applyBorder="1" applyAlignment="1">
      <alignment wrapText="1"/>
      <protection/>
    </xf>
    <xf numFmtId="0" fontId="15" fillId="0" borderId="19" xfId="103" applyFont="1" applyFill="1" applyBorder="1" applyAlignment="1">
      <alignment wrapText="1"/>
      <protection/>
    </xf>
    <xf numFmtId="0" fontId="12" fillId="0" borderId="23" xfId="103" applyFont="1" applyBorder="1" applyAlignment="1">
      <alignment wrapText="1"/>
      <protection/>
    </xf>
    <xf numFmtId="3" fontId="41" fillId="0" borderId="24" xfId="103" applyNumberFormat="1" applyFont="1" applyFill="1" applyBorder="1" applyAlignment="1">
      <alignment horizontal="right"/>
      <protection/>
    </xf>
    <xf numFmtId="0" fontId="41" fillId="0" borderId="24" xfId="103" applyFont="1" applyBorder="1" applyAlignment="1">
      <alignment horizontal="right"/>
      <protection/>
    </xf>
    <xf numFmtId="3" fontId="41" fillId="0" borderId="25" xfId="103" applyNumberFormat="1" applyFont="1" applyBorder="1" applyAlignment="1">
      <alignment horizontal="right"/>
      <protection/>
    </xf>
    <xf numFmtId="3" fontId="41" fillId="0" borderId="24" xfId="103" applyNumberFormat="1" applyFont="1" applyBorder="1" applyAlignment="1">
      <alignment horizontal="right"/>
      <protection/>
    </xf>
    <xf numFmtId="3" fontId="18" fillId="0" borderId="20" xfId="68" applyNumberFormat="1" applyFont="1" applyBorder="1" applyAlignment="1">
      <alignment horizontal="right" vertical="center"/>
    </xf>
    <xf numFmtId="3" fontId="18" fillId="0" borderId="20" xfId="103" applyNumberFormat="1" applyFont="1" applyBorder="1" applyAlignment="1">
      <alignment horizontal="right"/>
      <protection/>
    </xf>
    <xf numFmtId="0" fontId="11" fillId="0" borderId="26" xfId="103" applyFont="1" applyBorder="1" applyAlignment="1">
      <alignment horizontal="center" vertical="center"/>
      <protection/>
    </xf>
    <xf numFmtId="0" fontId="11" fillId="0" borderId="19" xfId="103" applyFont="1" applyBorder="1" applyAlignment="1">
      <alignment horizontal="center" vertical="center"/>
      <protection/>
    </xf>
    <xf numFmtId="3" fontId="12" fillId="0" borderId="0" xfId="103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4" xfId="103" applyFont="1" applyFill="1" applyBorder="1" applyAlignment="1">
      <alignment horizontal="left" vertical="center" wrapText="1"/>
      <protection/>
    </xf>
    <xf numFmtId="0" fontId="0" fillId="0" borderId="19" xfId="103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3" applyFont="1" applyBorder="1" applyAlignment="1">
      <alignment horizontal="right" vertical="center"/>
      <protection/>
    </xf>
    <xf numFmtId="0" fontId="22" fillId="0" borderId="0" xfId="103" applyFont="1" applyAlignment="1">
      <alignment horizontal="center" vertical="center"/>
      <protection/>
    </xf>
    <xf numFmtId="3" fontId="15" fillId="0" borderId="24" xfId="103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1" fillId="0" borderId="25" xfId="103" applyNumberFormat="1" applyFont="1" applyFill="1" applyBorder="1" applyAlignment="1">
      <alignment horizontal="right"/>
      <protection/>
    </xf>
    <xf numFmtId="3" fontId="41" fillId="0" borderId="28" xfId="103" applyNumberFormat="1" applyFont="1" applyBorder="1" applyAlignment="1">
      <alignment horizontal="right"/>
      <protection/>
    </xf>
    <xf numFmtId="0" fontId="15" fillId="0" borderId="29" xfId="103" applyFont="1" applyBorder="1" applyAlignment="1">
      <alignment wrapText="1"/>
      <protection/>
    </xf>
    <xf numFmtId="0" fontId="32" fillId="0" borderId="24" xfId="103" applyFont="1" applyFill="1" applyBorder="1" applyAlignment="1">
      <alignment vertical="center"/>
      <protection/>
    </xf>
    <xf numFmtId="0" fontId="14" fillId="0" borderId="30" xfId="0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8" fillId="0" borderId="0" xfId="0" applyFont="1" applyAlignment="1">
      <alignment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49" fontId="7" fillId="0" borderId="35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7" fillId="0" borderId="37" xfId="0" applyNumberFormat="1" applyFont="1" applyFill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/>
    </xf>
    <xf numFmtId="3" fontId="3" fillId="0" borderId="27" xfId="0" applyNumberFormat="1" applyFont="1" applyFill="1" applyBorder="1" applyAlignment="1">
      <alignment horizontal="right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6" xfId="0" applyNumberFormat="1" applyFont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3" fontId="7" fillId="0" borderId="28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8" fillId="0" borderId="39" xfId="104" applyFont="1" applyBorder="1" applyAlignment="1">
      <alignment horizontal="left" vertical="center" wrapText="1"/>
      <protection/>
    </xf>
    <xf numFmtId="0" fontId="26" fillId="0" borderId="40" xfId="0" applyFont="1" applyBorder="1" applyAlignment="1">
      <alignment vertical="center" wrapText="1"/>
    </xf>
    <xf numFmtId="2" fontId="37" fillId="0" borderId="24" xfId="104" applyNumberFormat="1" applyFont="1" applyFill="1" applyBorder="1" applyAlignment="1">
      <alignment horizontal="center" vertical="center" wrapText="1"/>
      <protection/>
    </xf>
    <xf numFmtId="2" fontId="37" fillId="0" borderId="41" xfId="104" applyNumberFormat="1" applyFont="1" applyFill="1" applyBorder="1" applyAlignment="1">
      <alignment horizontal="center" vertical="center" wrapText="1"/>
      <protection/>
    </xf>
    <xf numFmtId="2" fontId="37" fillId="0" borderId="20" xfId="104" applyNumberFormat="1" applyFont="1" applyFill="1" applyBorder="1" applyAlignment="1">
      <alignment horizontal="center" vertical="center" wrapText="1"/>
      <protection/>
    </xf>
    <xf numFmtId="169" fontId="30" fillId="0" borderId="0" xfId="0" applyNumberFormat="1" applyFont="1" applyFill="1" applyAlignment="1" applyProtection="1">
      <alignment horizontal="left" vertical="center" wrapText="1"/>
      <protection/>
    </xf>
    <xf numFmtId="169" fontId="30" fillId="0" borderId="0" xfId="0" applyNumberFormat="1" applyFont="1" applyFill="1" applyAlignment="1" applyProtection="1">
      <alignment vertical="center" wrapText="1"/>
      <protection/>
    </xf>
    <xf numFmtId="169" fontId="49" fillId="0" borderId="0" xfId="0" applyNumberFormat="1" applyFont="1" applyFill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right" vertical="top"/>
      <protection locked="0"/>
    </xf>
    <xf numFmtId="169" fontId="30" fillId="0" borderId="0" xfId="0" applyNumberFormat="1" applyFont="1" applyFill="1" applyAlignment="1">
      <alignment vertical="center" wrapText="1"/>
    </xf>
    <xf numFmtId="0" fontId="51" fillId="0" borderId="0" xfId="0" applyFont="1" applyAlignment="1" applyProtection="1">
      <alignment horizontal="right" vertical="top"/>
      <protection locked="0"/>
    </xf>
    <xf numFmtId="169" fontId="52" fillId="0" borderId="0" xfId="0" applyNumberFormat="1" applyFont="1" applyFill="1" applyAlignment="1" applyProtection="1">
      <alignment vertical="center" wrapText="1"/>
      <protection locked="0"/>
    </xf>
    <xf numFmtId="0" fontId="46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>
      <alignment vertical="center"/>
    </xf>
    <xf numFmtId="0" fontId="49" fillId="0" borderId="4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3" fillId="0" borderId="43" xfId="0" applyFont="1" applyFill="1" applyBorder="1" applyAlignment="1" applyProtection="1">
      <alignment horizontal="center" vertical="center" wrapText="1"/>
      <protection/>
    </xf>
    <xf numFmtId="0" fontId="53" fillId="0" borderId="27" xfId="0" applyFont="1" applyFill="1" applyBorder="1" applyAlignment="1" applyProtection="1">
      <alignment horizontal="center" vertical="center" wrapText="1"/>
      <protection/>
    </xf>
    <xf numFmtId="0" fontId="53" fillId="0" borderId="44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9" fillId="0" borderId="36" xfId="0" applyFont="1" applyFill="1" applyBorder="1" applyAlignment="1" applyProtection="1">
      <alignment horizontal="center" vertical="center" wrapText="1"/>
      <protection/>
    </xf>
    <xf numFmtId="0" fontId="49" fillId="0" borderId="37" xfId="0" applyFont="1" applyFill="1" applyBorder="1" applyAlignment="1" applyProtection="1">
      <alignment horizontal="center" vertical="center" wrapText="1"/>
      <protection/>
    </xf>
    <xf numFmtId="0" fontId="44" fillId="0" borderId="27" xfId="0" applyFont="1" applyFill="1" applyBorder="1" applyAlignment="1" applyProtection="1">
      <alignment horizontal="center" vertical="center" wrapText="1"/>
      <protection/>
    </xf>
    <xf numFmtId="16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0" applyFont="1" applyFill="1" applyAlignment="1">
      <alignment vertical="center" wrapText="1"/>
    </xf>
    <xf numFmtId="0" fontId="53" fillId="0" borderId="22" xfId="0" applyFont="1" applyFill="1" applyBorder="1" applyAlignment="1" applyProtection="1">
      <alignment horizontal="center" vertical="center" wrapText="1"/>
      <protection/>
    </xf>
    <xf numFmtId="49" fontId="45" fillId="0" borderId="24" xfId="0" applyNumberFormat="1" applyFont="1" applyFill="1" applyBorder="1" applyAlignment="1" applyProtection="1">
      <alignment horizontal="center" vertical="center" wrapText="1"/>
      <protection/>
    </xf>
    <xf numFmtId="0" fontId="53" fillId="0" borderId="19" xfId="0" applyFont="1" applyFill="1" applyBorder="1" applyAlignment="1" applyProtection="1">
      <alignment horizontal="center" vertical="center" wrapText="1"/>
      <protection/>
    </xf>
    <xf numFmtId="169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0" fontId="53" fillId="0" borderId="45" xfId="0" applyFont="1" applyFill="1" applyBorder="1" applyAlignment="1" applyProtection="1">
      <alignment horizontal="center" vertical="center" wrapText="1"/>
      <protection/>
    </xf>
    <xf numFmtId="0" fontId="53" fillId="0" borderId="43" xfId="0" applyFont="1" applyFill="1" applyBorder="1" applyAlignment="1" applyProtection="1">
      <alignment horizontal="center" vertical="center" wrapText="1"/>
      <protection/>
    </xf>
    <xf numFmtId="0" fontId="53" fillId="0" borderId="27" xfId="106" applyFont="1" applyFill="1" applyBorder="1" applyAlignment="1" applyProtection="1">
      <alignment horizontal="left" vertical="center" wrapText="1" indent="1"/>
      <protection/>
    </xf>
    <xf numFmtId="0" fontId="53" fillId="0" borderId="22" xfId="0" applyFont="1" applyFill="1" applyBorder="1" applyAlignment="1" applyProtection="1">
      <alignment horizontal="center" vertical="center" wrapText="1"/>
      <protection/>
    </xf>
    <xf numFmtId="49" fontId="45" fillId="0" borderId="46" xfId="0" applyNumberFormat="1" applyFont="1" applyFill="1" applyBorder="1" applyAlignment="1" applyProtection="1">
      <alignment horizontal="center" vertical="center" wrapText="1"/>
      <protection/>
    </xf>
    <xf numFmtId="169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39" xfId="0" applyFont="1" applyFill="1" applyBorder="1" applyAlignment="1" applyProtection="1">
      <alignment horizontal="center" vertical="center" wrapText="1"/>
      <protection/>
    </xf>
    <xf numFmtId="49" fontId="45" fillId="0" borderId="41" xfId="0" applyNumberFormat="1" applyFont="1" applyFill="1" applyBorder="1" applyAlignment="1" applyProtection="1">
      <alignment horizontal="center" vertical="center" wrapText="1"/>
      <protection/>
    </xf>
    <xf numFmtId="169" fontId="4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7" xfId="106" applyNumberFormat="1" applyFont="1" applyFill="1" applyBorder="1" applyAlignment="1" applyProtection="1">
      <alignment horizontal="left" vertical="center" wrapText="1" indent="1"/>
      <protection/>
    </xf>
    <xf numFmtId="0" fontId="54" fillId="0" borderId="49" xfId="0" applyFont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vertical="center" wrapText="1"/>
      <protection/>
    </xf>
    <xf numFmtId="49" fontId="45" fillId="0" borderId="46" xfId="106" applyNumberFormat="1" applyFont="1" applyFill="1" applyBorder="1" applyAlignment="1" applyProtection="1">
      <alignment horizontal="left" vertical="center" wrapText="1" indent="1"/>
      <protection/>
    </xf>
    <xf numFmtId="0" fontId="29" fillId="0" borderId="23" xfId="0" applyFont="1" applyFill="1" applyBorder="1" applyAlignment="1" applyProtection="1">
      <alignment vertical="center" wrapText="1"/>
      <protection/>
    </xf>
    <xf numFmtId="49" fontId="45" fillId="0" borderId="20" xfId="106" applyNumberFormat="1" applyFont="1" applyFill="1" applyBorder="1" applyAlignment="1" applyProtection="1">
      <alignment horizontal="left" vertical="center" wrapText="1" indent="1"/>
      <protection/>
    </xf>
    <xf numFmtId="169" fontId="4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43" xfId="0" applyFont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6" fillId="0" borderId="50" xfId="0" applyFont="1" applyBorder="1" applyAlignment="1" applyProtection="1">
      <alignment horizontal="center" wrapText="1"/>
      <protection/>
    </xf>
    <xf numFmtId="169" fontId="53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left" vertical="center" wrapText="1" indent="1"/>
      <protection/>
    </xf>
    <xf numFmtId="169" fontId="5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8" fillId="0" borderId="0" xfId="0" applyFont="1" applyFill="1" applyAlignment="1">
      <alignment vertical="center" wrapText="1"/>
    </xf>
    <xf numFmtId="0" fontId="45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horizontal="right" vertical="center" wrapText="1" indent="1"/>
      <protection/>
    </xf>
    <xf numFmtId="0" fontId="53" fillId="0" borderId="31" xfId="0" applyFont="1" applyFill="1" applyBorder="1" applyAlignment="1" applyProtection="1">
      <alignment horizontal="center" vertical="center" wrapText="1"/>
      <protection/>
    </xf>
    <xf numFmtId="0" fontId="53" fillId="0" borderId="38" xfId="0" applyFont="1" applyFill="1" applyBorder="1" applyAlignment="1" applyProtection="1">
      <alignment horizontal="center" vertical="center" wrapText="1"/>
      <protection/>
    </xf>
    <xf numFmtId="0" fontId="49" fillId="0" borderId="38" xfId="0" applyFont="1" applyFill="1" applyBorder="1" applyAlignment="1" applyProtection="1">
      <alignment horizontal="center" vertical="center" wrapText="1"/>
      <protection/>
    </xf>
    <xf numFmtId="0" fontId="53" fillId="0" borderId="27" xfId="106" applyFont="1" applyFill="1" applyBorder="1" applyAlignment="1" applyProtection="1">
      <alignment horizontal="left" vertical="center" wrapText="1" indent="1"/>
      <protection/>
    </xf>
    <xf numFmtId="0" fontId="53" fillId="0" borderId="26" xfId="0" applyFont="1" applyFill="1" applyBorder="1" applyAlignment="1" applyProtection="1">
      <alignment horizontal="center" vertical="center" wrapText="1"/>
      <protection/>
    </xf>
    <xf numFmtId="49" fontId="45" fillId="0" borderId="41" xfId="106" applyNumberFormat="1" applyFont="1" applyFill="1" applyBorder="1" applyAlignment="1" applyProtection="1">
      <alignment horizontal="left" vertical="center" wrapText="1" indent="1"/>
      <protection/>
    </xf>
    <xf numFmtId="0" fontId="53" fillId="0" borderId="19" xfId="0" applyFont="1" applyFill="1" applyBorder="1" applyAlignment="1" applyProtection="1">
      <alignment horizontal="center" vertical="center" wrapText="1"/>
      <protection/>
    </xf>
    <xf numFmtId="49" fontId="45" fillId="0" borderId="24" xfId="106" applyNumberFormat="1" applyFont="1" applyFill="1" applyBorder="1" applyAlignment="1" applyProtection="1">
      <alignment horizontal="left" vertical="center" wrapText="1" indent="1"/>
      <protection/>
    </xf>
    <xf numFmtId="169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7" xfId="0" applyFont="1" applyFill="1" applyBorder="1" applyAlignment="1" applyProtection="1">
      <alignment horizontal="center" vertical="center" wrapText="1"/>
      <protection/>
    </xf>
    <xf numFmtId="16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8" fillId="0" borderId="43" xfId="0" applyFont="1" applyFill="1" applyBorder="1" applyAlignment="1" applyProtection="1">
      <alignment horizontal="left" vertical="center"/>
      <protection/>
    </xf>
    <xf numFmtId="0" fontId="59" fillId="0" borderId="38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9" fontId="53" fillId="0" borderId="38" xfId="0" applyNumberFormat="1" applyFont="1" applyFill="1" applyBorder="1" applyAlignment="1" applyProtection="1">
      <alignment horizontal="right" vertical="center" wrapText="1" indent="1"/>
      <protection/>
    </xf>
    <xf numFmtId="169" fontId="49" fillId="0" borderId="28" xfId="0" applyNumberFormat="1" applyFont="1" applyFill="1" applyBorder="1" applyAlignment="1" applyProtection="1">
      <alignment horizontal="center" vertical="center" wrapText="1"/>
      <protection/>
    </xf>
    <xf numFmtId="169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2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9" fontId="0" fillId="0" borderId="0" xfId="0" applyNumberFormat="1" applyFill="1" applyAlignment="1">
      <alignment vertical="center" wrapText="1"/>
    </xf>
    <xf numFmtId="0" fontId="30" fillId="0" borderId="0" xfId="106" applyFill="1">
      <alignment/>
      <protection/>
    </xf>
    <xf numFmtId="3" fontId="45" fillId="0" borderId="0" xfId="106" applyNumberFormat="1" applyFont="1" applyFill="1" applyBorder="1">
      <alignment/>
      <protection/>
    </xf>
    <xf numFmtId="169" fontId="45" fillId="0" borderId="0" xfId="106" applyNumberFormat="1" applyFont="1" applyFill="1" applyBorder="1">
      <alignment/>
      <protection/>
    </xf>
    <xf numFmtId="0" fontId="53" fillId="0" borderId="43" xfId="106" applyFont="1" applyFill="1" applyBorder="1" applyAlignment="1" applyProtection="1">
      <alignment horizontal="left" vertical="center" wrapText="1" indent="1"/>
      <protection/>
    </xf>
    <xf numFmtId="0" fontId="61" fillId="0" borderId="0" xfId="106" applyFont="1" applyFill="1">
      <alignment/>
      <protection/>
    </xf>
    <xf numFmtId="49" fontId="45" fillId="0" borderId="0" xfId="106" applyNumberFormat="1" applyFont="1" applyFill="1" applyBorder="1" applyAlignment="1" applyProtection="1">
      <alignment horizontal="left" vertical="center" wrapText="1" indent="1"/>
      <protection/>
    </xf>
    <xf numFmtId="0" fontId="45" fillId="0" borderId="0" xfId="106" applyFont="1" applyFill="1" applyBorder="1" applyAlignment="1" applyProtection="1">
      <alignment horizontal="left" indent="5"/>
      <protection/>
    </xf>
    <xf numFmtId="3" fontId="45" fillId="0" borderId="0" xfId="106" applyNumberFormat="1" applyFont="1" applyFill="1" applyBorder="1" applyAlignment="1" applyProtection="1">
      <alignment horizontal="right" vertical="center" wrapText="1"/>
      <protection/>
    </xf>
    <xf numFmtId="0" fontId="46" fillId="0" borderId="0" xfId="106" applyFont="1" applyFill="1" applyAlignment="1">
      <alignment horizontal="center" wrapText="1"/>
      <protection/>
    </xf>
    <xf numFmtId="3" fontId="45" fillId="0" borderId="0" xfId="106" applyNumberFormat="1" applyFont="1" applyFill="1">
      <alignment/>
      <protection/>
    </xf>
    <xf numFmtId="0" fontId="45" fillId="0" borderId="0" xfId="106" applyFont="1" applyFill="1">
      <alignment/>
      <protection/>
    </xf>
    <xf numFmtId="49" fontId="20" fillId="0" borderId="0" xfId="0" applyNumberFormat="1" applyFont="1" applyAlignment="1">
      <alignment vertical="center"/>
    </xf>
    <xf numFmtId="0" fontId="40" fillId="0" borderId="0" xfId="0" applyFont="1" applyBorder="1" applyAlignment="1">
      <alignment vertical="center"/>
    </xf>
    <xf numFmtId="49" fontId="7" fillId="0" borderId="54" xfId="0" applyNumberFormat="1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5" fillId="0" borderId="29" xfId="103" applyFont="1" applyFill="1" applyBorder="1" applyAlignment="1">
      <alignment wrapText="1"/>
      <protection/>
    </xf>
    <xf numFmtId="0" fontId="53" fillId="0" borderId="22" xfId="106" applyFont="1" applyFill="1" applyBorder="1" applyAlignment="1" applyProtection="1">
      <alignment horizontal="left" vertical="center" wrapText="1" indent="1"/>
      <protection/>
    </xf>
    <xf numFmtId="49" fontId="53" fillId="0" borderId="19" xfId="106" applyNumberFormat="1" applyFont="1" applyFill="1" applyBorder="1" applyAlignment="1" applyProtection="1">
      <alignment horizontal="left" vertical="center" wrapText="1" indent="1"/>
      <protection/>
    </xf>
    <xf numFmtId="49" fontId="53" fillId="0" borderId="23" xfId="106" applyNumberFormat="1" applyFont="1" applyFill="1" applyBorder="1" applyAlignment="1" applyProtection="1">
      <alignment horizontal="left" vertical="center" wrapText="1" indent="1"/>
      <protection/>
    </xf>
    <xf numFmtId="169" fontId="30" fillId="0" borderId="0" xfId="0" applyNumberFormat="1" applyFont="1" applyFill="1" applyBorder="1" applyAlignment="1" applyProtection="1">
      <alignment horizontal="left" vertical="center" wrapText="1"/>
      <protection/>
    </xf>
    <xf numFmtId="2" fontId="35" fillId="0" borderId="52" xfId="104" applyNumberFormat="1" applyFont="1" applyBorder="1" applyAlignment="1">
      <alignment horizontal="center" vertical="center"/>
      <protection/>
    </xf>
    <xf numFmtId="169" fontId="27" fillId="0" borderId="27" xfId="106" applyNumberFormat="1" applyFont="1" applyFill="1" applyBorder="1" applyAlignment="1" applyProtection="1">
      <alignment horizontal="right" vertical="center" wrapText="1"/>
      <protection/>
    </xf>
    <xf numFmtId="169" fontId="42" fillId="0" borderId="55" xfId="106" applyNumberFormat="1" applyFont="1" applyFill="1" applyBorder="1" applyAlignment="1" applyProtection="1">
      <alignment horizontal="left" vertical="center"/>
      <protection/>
    </xf>
    <xf numFmtId="3" fontId="27" fillId="0" borderId="46" xfId="106" applyNumberFormat="1" applyFont="1" applyFill="1" applyBorder="1" applyAlignment="1" applyProtection="1">
      <alignment horizontal="right" vertical="center" wrapText="1"/>
      <protection/>
    </xf>
    <xf numFmtId="3" fontId="27" fillId="0" borderId="24" xfId="106" applyNumberFormat="1" applyFont="1" applyFill="1" applyBorder="1" applyAlignment="1" applyProtection="1">
      <alignment horizontal="right" vertical="center" wrapText="1"/>
      <protection/>
    </xf>
    <xf numFmtId="3" fontId="27" fillId="0" borderId="20" xfId="106" applyNumberFormat="1" applyFont="1" applyFill="1" applyBorder="1" applyAlignment="1" applyProtection="1">
      <alignment horizontal="right" vertical="center" wrapText="1"/>
      <protection/>
    </xf>
    <xf numFmtId="49" fontId="43" fillId="0" borderId="19" xfId="106" applyNumberFormat="1" applyFont="1" applyFill="1" applyBorder="1" applyAlignment="1" applyProtection="1">
      <alignment horizontal="left" vertical="center" wrapText="1"/>
      <protection/>
    </xf>
    <xf numFmtId="49" fontId="29" fillId="0" borderId="19" xfId="106" applyNumberFormat="1" applyFont="1" applyFill="1" applyBorder="1" applyAlignment="1">
      <alignment horizontal="left"/>
      <protection/>
    </xf>
    <xf numFmtId="49" fontId="29" fillId="0" borderId="19" xfId="106" applyNumberFormat="1" applyFont="1" applyFill="1" applyBorder="1" applyAlignment="1" applyProtection="1">
      <alignment horizontal="left" vertical="center" wrapText="1"/>
      <protection/>
    </xf>
    <xf numFmtId="0" fontId="27" fillId="0" borderId="22" xfId="106" applyFont="1" applyFill="1" applyBorder="1" applyAlignment="1">
      <alignment horizontal="center"/>
      <protection/>
    </xf>
    <xf numFmtId="3" fontId="27" fillId="0" borderId="46" xfId="106" applyNumberFormat="1" applyFont="1" applyFill="1" applyBorder="1">
      <alignment/>
      <protection/>
    </xf>
    <xf numFmtId="3" fontId="29" fillId="0" borderId="24" xfId="106" applyNumberFormat="1" applyFont="1" applyFill="1" applyBorder="1">
      <alignment/>
      <protection/>
    </xf>
    <xf numFmtId="169" fontId="29" fillId="0" borderId="24" xfId="106" applyNumberFormat="1" applyFont="1" applyFill="1" applyBorder="1">
      <alignment/>
      <protection/>
    </xf>
    <xf numFmtId="49" fontId="43" fillId="0" borderId="23" xfId="106" applyNumberFormat="1" applyFont="1" applyFill="1" applyBorder="1" applyAlignment="1">
      <alignment horizontal="left"/>
      <protection/>
    </xf>
    <xf numFmtId="3" fontId="29" fillId="0" borderId="20" xfId="106" applyNumberFormat="1" applyFont="1" applyFill="1" applyBorder="1">
      <alignment/>
      <protection/>
    </xf>
    <xf numFmtId="169" fontId="27" fillId="0" borderId="52" xfId="106" applyNumberFormat="1" applyFont="1" applyFill="1" applyBorder="1" applyAlignment="1" applyProtection="1">
      <alignment horizontal="right" vertical="center" wrapText="1"/>
      <protection/>
    </xf>
    <xf numFmtId="169" fontId="27" fillId="0" borderId="46" xfId="106" applyNumberFormat="1" applyFont="1" applyFill="1" applyBorder="1" applyAlignment="1" applyProtection="1">
      <alignment horizontal="right" vertical="center" wrapText="1"/>
      <protection/>
    </xf>
    <xf numFmtId="169" fontId="27" fillId="0" borderId="24" xfId="106" applyNumberFormat="1" applyFont="1" applyFill="1" applyBorder="1" applyAlignment="1" applyProtection="1">
      <alignment horizontal="right" vertical="center" wrapText="1"/>
      <protection/>
    </xf>
    <xf numFmtId="3" fontId="18" fillId="0" borderId="21" xfId="103" applyNumberFormat="1" applyFont="1" applyBorder="1" applyAlignment="1">
      <alignment horizontal="right"/>
      <protection/>
    </xf>
    <xf numFmtId="0" fontId="7" fillId="0" borderId="5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9" fontId="5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9" fontId="49" fillId="0" borderId="42" xfId="0" applyNumberFormat="1" applyFont="1" applyFill="1" applyBorder="1" applyAlignment="1" applyProtection="1">
      <alignment horizontal="center" vertical="center" wrapText="1"/>
      <protection/>
    </xf>
    <xf numFmtId="169" fontId="49" fillId="0" borderId="57" xfId="0" applyNumberFormat="1" applyFont="1" applyFill="1" applyBorder="1" applyAlignment="1" applyProtection="1">
      <alignment horizontal="center" vertical="center" wrapText="1"/>
      <protection/>
    </xf>
    <xf numFmtId="169" fontId="53" fillId="0" borderId="50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50" xfId="0" applyNumberFormat="1" applyFont="1" applyFill="1" applyBorder="1" applyAlignment="1" applyProtection="1">
      <alignment horizontal="right" vertical="center" wrapText="1" indent="1"/>
      <protection/>
    </xf>
    <xf numFmtId="169" fontId="49" fillId="0" borderId="30" xfId="0" applyNumberFormat="1" applyFont="1" applyFill="1" applyBorder="1" applyAlignment="1" applyProtection="1">
      <alignment horizontal="center" vertical="center" wrapText="1"/>
      <protection/>
    </xf>
    <xf numFmtId="169" fontId="49" fillId="0" borderId="59" xfId="0" applyNumberFormat="1" applyFont="1" applyFill="1" applyBorder="1" applyAlignment="1" applyProtection="1">
      <alignment horizontal="center" vertical="center" wrapText="1"/>
      <protection/>
    </xf>
    <xf numFmtId="169" fontId="5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7" xfId="0" applyNumberFormat="1" applyFont="1" applyFill="1" applyBorder="1" applyAlignment="1">
      <alignment horizontal="right" vertical="center" wrapText="1"/>
    </xf>
    <xf numFmtId="3" fontId="7" fillId="49" borderId="41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2" fontId="33" fillId="0" borderId="0" xfId="104" applyNumberFormat="1" applyFont="1" applyAlignment="1">
      <alignment horizontal="center" vertical="center"/>
      <protection/>
    </xf>
    <xf numFmtId="1" fontId="37" fillId="0" borderId="25" xfId="104" applyNumberFormat="1" applyFont="1" applyFill="1" applyBorder="1" applyAlignment="1">
      <alignment horizontal="center" vertical="center" wrapText="1"/>
      <protection/>
    </xf>
    <xf numFmtId="1" fontId="35" fillId="0" borderId="48" xfId="104" applyNumberFormat="1" applyFont="1" applyBorder="1" applyAlignment="1">
      <alignment horizontal="center" vertical="center"/>
      <protection/>
    </xf>
    <xf numFmtId="1" fontId="35" fillId="0" borderId="44" xfId="104" applyNumberFormat="1" applyFont="1" applyBorder="1" applyAlignment="1">
      <alignment horizontal="center" vertical="center" wrapText="1"/>
      <protection/>
    </xf>
    <xf numFmtId="0" fontId="46" fillId="0" borderId="0" xfId="106" applyFont="1" applyFill="1" applyBorder="1" applyAlignment="1">
      <alignment horizontal="center" wrapText="1"/>
      <protection/>
    </xf>
    <xf numFmtId="0" fontId="3" fillId="0" borderId="38" xfId="0" applyFont="1" applyFill="1" applyBorder="1" applyAlignment="1">
      <alignment horizontal="center" vertical="center" wrapText="1"/>
    </xf>
    <xf numFmtId="0" fontId="46" fillId="0" borderId="0" xfId="106" applyFont="1" applyFill="1" applyAlignment="1">
      <alignment horizont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3" fillId="0" borderId="61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>
      <alignment horizontal="centerContinuous" vertical="center" wrapText="1"/>
    </xf>
    <xf numFmtId="0" fontId="12" fillId="1" borderId="26" xfId="103" applyFont="1" applyFill="1" applyBorder="1" applyAlignment="1">
      <alignment horizontal="center" vertical="center" wrapText="1"/>
      <protection/>
    </xf>
    <xf numFmtId="0" fontId="12" fillId="1" borderId="41" xfId="103" applyFont="1" applyFill="1" applyBorder="1" applyAlignment="1">
      <alignment horizontal="center" vertical="center"/>
      <protection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49" fillId="0" borderId="31" xfId="0" applyFont="1" applyFill="1" applyBorder="1" applyAlignment="1" applyProtection="1">
      <alignment horizontal="center" vertical="center" wrapText="1"/>
      <protection/>
    </xf>
    <xf numFmtId="0" fontId="49" fillId="0" borderId="50" xfId="0" applyFont="1" applyFill="1" applyBorder="1" applyAlignment="1" applyProtection="1">
      <alignment horizontal="center" vertical="center" wrapText="1"/>
      <protection/>
    </xf>
    <xf numFmtId="0" fontId="11" fillId="0" borderId="0" xfId="103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67" fillId="0" borderId="50" xfId="0" applyFont="1" applyBorder="1" applyAlignment="1" applyProtection="1">
      <alignment horizontal="center" wrapText="1"/>
      <protection/>
    </xf>
    <xf numFmtId="0" fontId="51" fillId="0" borderId="5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9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13" fillId="0" borderId="31" xfId="103" applyFont="1" applyBorder="1" applyAlignment="1">
      <alignment horizontal="center" vertical="center"/>
      <protection/>
    </xf>
    <xf numFmtId="3" fontId="13" fillId="0" borderId="26" xfId="103" applyNumberFormat="1" applyFont="1" applyFill="1" applyBorder="1" applyAlignment="1">
      <alignment vertical="center"/>
      <protection/>
    </xf>
    <xf numFmtId="0" fontId="11" fillId="0" borderId="34" xfId="103" applyFont="1" applyBorder="1" applyAlignment="1">
      <alignment vertical="center" wrapText="1"/>
      <protection/>
    </xf>
    <xf numFmtId="0" fontId="11" fillId="0" borderId="32" xfId="103" applyFont="1" applyBorder="1" applyAlignment="1">
      <alignment vertical="center" wrapText="1"/>
      <protection/>
    </xf>
    <xf numFmtId="0" fontId="11" fillId="0" borderId="36" xfId="103" applyFont="1" applyBorder="1" applyAlignment="1">
      <alignment vertical="center" wrapText="1"/>
      <protection/>
    </xf>
    <xf numFmtId="0" fontId="11" fillId="0" borderId="40" xfId="103" applyFont="1" applyBorder="1" applyAlignment="1">
      <alignment vertical="center" wrapText="1"/>
      <protection/>
    </xf>
    <xf numFmtId="0" fontId="13" fillId="0" borderId="62" xfId="103" applyFont="1" applyBorder="1" applyAlignment="1">
      <alignment vertical="center" wrapText="1"/>
      <protection/>
    </xf>
    <xf numFmtId="0" fontId="11" fillId="0" borderId="34" xfId="103" applyFont="1" applyBorder="1" applyAlignment="1">
      <alignment vertical="center"/>
      <protection/>
    </xf>
    <xf numFmtId="0" fontId="11" fillId="0" borderId="36" xfId="103" applyFont="1" applyBorder="1" applyAlignment="1">
      <alignment vertical="center"/>
      <protection/>
    </xf>
    <xf numFmtId="0" fontId="13" fillId="0" borderId="31" xfId="103" applyFont="1" applyBorder="1" applyAlignment="1">
      <alignment vertical="center"/>
      <protection/>
    </xf>
    <xf numFmtId="0" fontId="17" fillId="0" borderId="31" xfId="103" applyFont="1" applyBorder="1" applyAlignment="1">
      <alignment horizontal="center" vertical="center"/>
      <protection/>
    </xf>
    <xf numFmtId="0" fontId="10" fillId="0" borderId="62" xfId="0" applyFont="1" applyBorder="1" applyAlignment="1">
      <alignment horizontal="center" vertical="center" wrapText="1"/>
    </xf>
    <xf numFmtId="0" fontId="19" fillId="0" borderId="36" xfId="103" applyFont="1" applyFill="1" applyBorder="1" applyAlignment="1">
      <alignment vertical="center" wrapText="1"/>
      <protection/>
    </xf>
    <xf numFmtId="0" fontId="13" fillId="0" borderId="31" xfId="103" applyFont="1" applyBorder="1" applyAlignment="1">
      <alignment vertical="center" wrapText="1"/>
      <protection/>
    </xf>
    <xf numFmtId="0" fontId="13" fillId="0" borderId="31" xfId="103" applyFont="1" applyFill="1" applyBorder="1" applyAlignment="1">
      <alignment vertical="center"/>
      <protection/>
    </xf>
    <xf numFmtId="0" fontId="38" fillId="0" borderId="62" xfId="103" applyFont="1" applyBorder="1" applyAlignment="1">
      <alignment horizontal="center" vertical="center"/>
      <protection/>
    </xf>
    <xf numFmtId="0" fontId="7" fillId="0" borderId="35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3" xfId="78" applyFont="1" applyBorder="1" applyAlignment="1" applyProtection="1">
      <alignment vertical="center" wrapText="1"/>
      <protection/>
    </xf>
    <xf numFmtId="0" fontId="7" fillId="0" borderId="33" xfId="0" applyFont="1" applyFill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9" fillId="0" borderId="43" xfId="0" applyNumberFormat="1" applyFont="1" applyFill="1" applyBorder="1" applyAlignment="1">
      <alignment vertical="center"/>
    </xf>
    <xf numFmtId="3" fontId="39" fillId="0" borderId="27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horizontal="right" vertical="center"/>
    </xf>
    <xf numFmtId="3" fontId="7" fillId="0" borderId="29" xfId="0" applyNumberFormat="1" applyFont="1" applyBorder="1" applyAlignment="1">
      <alignment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3" fillId="49" borderId="43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3" fontId="7" fillId="49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64" fillId="0" borderId="0" xfId="104" applyFont="1" applyAlignment="1">
      <alignment horizontal="right" vertical="center"/>
      <protection/>
    </xf>
    <xf numFmtId="0" fontId="34" fillId="0" borderId="0" xfId="104" applyFont="1" applyAlignment="1">
      <alignment horizontal="center" vertical="center"/>
      <protection/>
    </xf>
    <xf numFmtId="49" fontId="0" fillId="0" borderId="56" xfId="0" applyNumberFormat="1" applyFont="1" applyBorder="1" applyAlignment="1">
      <alignment horizontal="left"/>
    </xf>
    <xf numFmtId="0" fontId="13" fillId="0" borderId="38" xfId="103" applyFont="1" applyBorder="1" applyAlignment="1">
      <alignment horizontal="center" vertical="center"/>
      <protection/>
    </xf>
    <xf numFmtId="49" fontId="3" fillId="0" borderId="63" xfId="0" applyNumberFormat="1" applyFont="1" applyBorder="1" applyAlignment="1">
      <alignment horizontal="left" vertical="center"/>
    </xf>
    <xf numFmtId="3" fontId="3" fillId="0" borderId="49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11" fillId="0" borderId="0" xfId="103" applyNumberFormat="1" applyFont="1">
      <alignment/>
      <protection/>
    </xf>
    <xf numFmtId="10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3" fontId="41" fillId="0" borderId="64" xfId="103" applyNumberFormat="1" applyFont="1" applyFill="1" applyBorder="1" applyAlignment="1">
      <alignment horizontal="right"/>
      <protection/>
    </xf>
    <xf numFmtId="3" fontId="41" fillId="0" borderId="64" xfId="103" applyNumberFormat="1" applyFont="1" applyBorder="1" applyAlignment="1">
      <alignment horizontal="right"/>
      <protection/>
    </xf>
    <xf numFmtId="0" fontId="41" fillId="0" borderId="19" xfId="103" applyFont="1" applyBorder="1" applyAlignment="1">
      <alignment horizontal="right"/>
      <protection/>
    </xf>
    <xf numFmtId="3" fontId="41" fillId="0" borderId="19" xfId="103" applyNumberFormat="1" applyFont="1" applyBorder="1" applyAlignment="1">
      <alignment horizontal="right"/>
      <protection/>
    </xf>
    <xf numFmtId="3" fontId="41" fillId="0" borderId="19" xfId="103" applyNumberFormat="1" applyFont="1" applyFill="1" applyBorder="1" applyAlignment="1">
      <alignment horizontal="right"/>
      <protection/>
    </xf>
    <xf numFmtId="3" fontId="41" fillId="0" borderId="65" xfId="103" applyNumberFormat="1" applyFont="1" applyBorder="1" applyAlignment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Continuous" vertical="center" wrapText="1"/>
    </xf>
    <xf numFmtId="0" fontId="3" fillId="0" borderId="44" xfId="0" applyFont="1" applyFill="1" applyBorder="1" applyAlignment="1">
      <alignment horizontal="centerContinuous" vertical="center" wrapText="1"/>
    </xf>
    <xf numFmtId="3" fontId="7" fillId="0" borderId="19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0" fontId="11" fillId="0" borderId="35" xfId="103" applyFont="1" applyBorder="1" applyAlignment="1">
      <alignment vertical="center" wrapText="1"/>
      <protection/>
    </xf>
    <xf numFmtId="0" fontId="11" fillId="0" borderId="33" xfId="103" applyFont="1" applyBorder="1" applyAlignment="1">
      <alignment vertical="center" wrapText="1"/>
      <protection/>
    </xf>
    <xf numFmtId="0" fontId="11" fillId="0" borderId="33" xfId="103" applyFont="1" applyFill="1" applyBorder="1" applyAlignment="1">
      <alignment vertical="center" wrapText="1"/>
      <protection/>
    </xf>
    <xf numFmtId="0" fontId="11" fillId="0" borderId="37" xfId="103" applyFont="1" applyBorder="1" applyAlignment="1">
      <alignment vertical="center" wrapText="1"/>
      <protection/>
    </xf>
    <xf numFmtId="0" fontId="11" fillId="0" borderId="66" xfId="103" applyFont="1" applyBorder="1" applyAlignment="1">
      <alignment vertical="center" wrapText="1"/>
      <protection/>
    </xf>
    <xf numFmtId="0" fontId="13" fillId="0" borderId="38" xfId="103" applyFont="1" applyBorder="1" applyAlignment="1">
      <alignment vertical="center" wrapText="1"/>
      <protection/>
    </xf>
    <xf numFmtId="0" fontId="17" fillId="0" borderId="38" xfId="103" applyFont="1" applyBorder="1" applyAlignment="1">
      <alignment horizontal="center" vertical="center" wrapText="1"/>
      <protection/>
    </xf>
    <xf numFmtId="0" fontId="11" fillId="0" borderId="54" xfId="103" applyFont="1" applyBorder="1" applyAlignment="1">
      <alignment vertical="center" wrapText="1"/>
      <protection/>
    </xf>
    <xf numFmtId="0" fontId="13" fillId="0" borderId="38" xfId="103" applyFont="1" applyBorder="1" applyAlignment="1">
      <alignment vertical="center"/>
      <protection/>
    </xf>
    <xf numFmtId="0" fontId="11" fillId="0" borderId="35" xfId="103" applyFont="1" applyFill="1" applyBorder="1" applyAlignment="1">
      <alignment vertical="center" wrapText="1"/>
      <protection/>
    </xf>
    <xf numFmtId="0" fontId="11" fillId="0" borderId="37" xfId="103" applyFont="1" applyBorder="1" applyAlignment="1">
      <alignment vertical="center"/>
      <protection/>
    </xf>
    <xf numFmtId="0" fontId="10" fillId="0" borderId="55" xfId="0" applyFont="1" applyBorder="1" applyAlignment="1">
      <alignment horizontal="center" vertical="center" wrapText="1"/>
    </xf>
    <xf numFmtId="0" fontId="38" fillId="0" borderId="38" xfId="103" applyFont="1" applyBorder="1" applyAlignment="1">
      <alignment horizontal="center" vertical="center"/>
      <protection/>
    </xf>
    <xf numFmtId="0" fontId="13" fillId="0" borderId="43" xfId="103" applyFont="1" applyBorder="1" applyAlignment="1">
      <alignment horizontal="center" vertical="center"/>
      <protection/>
    </xf>
    <xf numFmtId="0" fontId="13" fillId="0" borderId="27" xfId="103" applyFont="1" applyBorder="1" applyAlignment="1">
      <alignment horizontal="center" vertical="center"/>
      <protection/>
    </xf>
    <xf numFmtId="0" fontId="13" fillId="0" borderId="44" xfId="103" applyFont="1" applyBorder="1" applyAlignment="1">
      <alignment horizontal="center" vertical="center"/>
      <protection/>
    </xf>
    <xf numFmtId="3" fontId="11" fillId="0" borderId="26" xfId="103" applyNumberFormat="1" applyBorder="1" applyAlignment="1">
      <alignment vertical="center"/>
      <protection/>
    </xf>
    <xf numFmtId="3" fontId="11" fillId="0" borderId="19" xfId="103" applyNumberFormat="1" applyBorder="1" applyAlignment="1">
      <alignment vertical="center"/>
      <protection/>
    </xf>
    <xf numFmtId="3" fontId="11" fillId="0" borderId="29" xfId="103" applyNumberFormat="1" applyBorder="1" applyAlignment="1">
      <alignment vertical="center"/>
      <protection/>
    </xf>
    <xf numFmtId="3" fontId="11" fillId="0" borderId="23" xfId="103" applyNumberFormat="1" applyBorder="1" applyAlignment="1">
      <alignment vertical="center"/>
      <protection/>
    </xf>
    <xf numFmtId="3" fontId="11" fillId="0" borderId="39" xfId="103" applyNumberFormat="1" applyBorder="1" applyAlignment="1">
      <alignment vertical="center"/>
      <protection/>
    </xf>
    <xf numFmtId="3" fontId="13" fillId="0" borderId="29" xfId="103" applyNumberFormat="1" applyFont="1" applyBorder="1" applyAlignment="1">
      <alignment vertical="center"/>
      <protection/>
    </xf>
    <xf numFmtId="3" fontId="13" fillId="0" borderId="43" xfId="103" applyNumberFormat="1" applyFont="1" applyBorder="1" applyAlignment="1">
      <alignment vertical="center"/>
      <protection/>
    </xf>
    <xf numFmtId="3" fontId="17" fillId="0" borderId="43" xfId="103" applyNumberFormat="1" applyFont="1" applyBorder="1" applyAlignment="1">
      <alignment vertical="center"/>
      <protection/>
    </xf>
    <xf numFmtId="3" fontId="11" fillId="0" borderId="22" xfId="103" applyNumberFormat="1" applyFill="1" applyBorder="1" applyAlignment="1">
      <alignment vertical="center"/>
      <protection/>
    </xf>
    <xf numFmtId="3" fontId="11" fillId="0" borderId="26" xfId="103" applyNumberFormat="1" applyFont="1" applyBorder="1" applyAlignment="1">
      <alignment vertical="center"/>
      <protection/>
    </xf>
    <xf numFmtId="3" fontId="17" fillId="0" borderId="29" xfId="103" applyNumberFormat="1" applyFont="1" applyBorder="1" applyAlignment="1">
      <alignment vertical="center"/>
      <protection/>
    </xf>
    <xf numFmtId="3" fontId="17" fillId="0" borderId="39" xfId="103" applyNumberFormat="1" applyFont="1" applyBorder="1" applyAlignment="1">
      <alignment vertical="center"/>
      <protection/>
    </xf>
    <xf numFmtId="3" fontId="38" fillId="0" borderId="39" xfId="103" applyNumberFormat="1" applyFont="1" applyBorder="1" applyAlignment="1">
      <alignment vertical="center"/>
      <protection/>
    </xf>
    <xf numFmtId="3" fontId="11" fillId="0" borderId="22" xfId="103" applyNumberFormat="1" applyBorder="1" applyAlignment="1">
      <alignment vertical="center"/>
      <protection/>
    </xf>
    <xf numFmtId="3" fontId="11" fillId="0" borderId="19" xfId="103" applyNumberFormat="1" applyFill="1" applyBorder="1" applyAlignment="1">
      <alignment vertical="center"/>
      <protection/>
    </xf>
    <xf numFmtId="3" fontId="11" fillId="0" borderId="43" xfId="103" applyNumberFormat="1" applyBorder="1" applyAlignment="1">
      <alignment vertical="center"/>
      <protection/>
    </xf>
    <xf numFmtId="3" fontId="38" fillId="0" borderId="43" xfId="103" applyNumberFormat="1" applyFont="1" applyBorder="1" applyAlignment="1">
      <alignment vertical="center"/>
      <protection/>
    </xf>
    <xf numFmtId="0" fontId="3" fillId="0" borderId="43" xfId="0" applyFont="1" applyFill="1" applyBorder="1" applyAlignment="1">
      <alignment horizontal="centerContinuous" vertical="center" wrapText="1"/>
    </xf>
    <xf numFmtId="3" fontId="3" fillId="0" borderId="29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2" xfId="0" applyNumberFormat="1" applyFont="1" applyFill="1" applyBorder="1" applyAlignment="1">
      <alignment horizontal="right" vertical="center" wrapText="1"/>
    </xf>
    <xf numFmtId="3" fontId="7" fillId="49" borderId="46" xfId="0" applyNumberFormat="1" applyFont="1" applyFill="1" applyBorder="1" applyAlignment="1">
      <alignment horizontal="righ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67" xfId="0" applyNumberFormat="1" applyFont="1" applyBorder="1" applyAlignment="1">
      <alignment horizontal="left" vertical="center"/>
    </xf>
    <xf numFmtId="0" fontId="49" fillId="0" borderId="68" xfId="0" applyFont="1" applyFill="1" applyBorder="1" applyAlignment="1" applyProtection="1">
      <alignment horizontal="center" vertical="center" wrapText="1"/>
      <protection/>
    </xf>
    <xf numFmtId="0" fontId="49" fillId="0" borderId="57" xfId="0" applyFont="1" applyFill="1" applyBorder="1" applyAlignment="1" applyProtection="1">
      <alignment horizontal="center" vertical="center" wrapText="1"/>
      <protection/>
    </xf>
    <xf numFmtId="169" fontId="53" fillId="0" borderId="51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38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54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38" xfId="0" applyNumberFormat="1" applyFont="1" applyFill="1" applyBorder="1" applyAlignment="1" applyProtection="1">
      <alignment horizontal="right" vertical="center" wrapText="1" indent="1"/>
      <protection/>
    </xf>
    <xf numFmtId="169" fontId="49" fillId="0" borderId="29" xfId="0" applyNumberFormat="1" applyFont="1" applyFill="1" applyBorder="1" applyAlignment="1" applyProtection="1">
      <alignment horizontal="center" vertical="center" wrapText="1"/>
      <protection/>
    </xf>
    <xf numFmtId="169" fontId="53" fillId="0" borderId="43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9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3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61" xfId="106" applyFont="1" applyFill="1" applyBorder="1" applyAlignment="1" applyProtection="1">
      <alignment horizontal="left" vertical="center" wrapText="1" indent="1"/>
      <protection/>
    </xf>
    <xf numFmtId="0" fontId="45" fillId="0" borderId="69" xfId="106" applyFont="1" applyFill="1" applyBorder="1" applyAlignment="1" applyProtection="1">
      <alignment horizontal="left" vertical="center" wrapText="1" indent="1"/>
      <protection/>
    </xf>
    <xf numFmtId="0" fontId="45" fillId="0" borderId="64" xfId="106" applyFont="1" applyFill="1" applyBorder="1" applyAlignment="1" applyProtection="1">
      <alignment horizontal="left" vertical="center" wrapText="1" indent="1"/>
      <protection/>
    </xf>
    <xf numFmtId="0" fontId="53" fillId="0" borderId="61" xfId="106" applyFont="1" applyFill="1" applyBorder="1" applyAlignment="1" applyProtection="1">
      <alignment horizontal="left" vertical="center" wrapText="1" indent="1"/>
      <protection/>
    </xf>
    <xf numFmtId="0" fontId="53" fillId="0" borderId="38" xfId="106" applyFont="1" applyFill="1" applyBorder="1" applyAlignment="1" applyProtection="1">
      <alignment horizontal="left" vertical="center" wrapText="1" indent="1"/>
      <protection/>
    </xf>
    <xf numFmtId="0" fontId="49" fillId="0" borderId="61" xfId="0" applyFont="1" applyFill="1" applyBorder="1" applyAlignment="1" applyProtection="1">
      <alignment horizontal="left" vertical="center" wrapText="1" indent="1"/>
      <protection/>
    </xf>
    <xf numFmtId="0" fontId="28" fillId="0" borderId="38" xfId="0" applyFont="1" applyFill="1" applyBorder="1" applyAlignment="1" applyProtection="1">
      <alignment vertical="center" wrapText="1"/>
      <protection/>
    </xf>
    <xf numFmtId="169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49" fillId="0" borderId="49" xfId="0" applyFont="1" applyFill="1" applyBorder="1" applyAlignment="1" applyProtection="1">
      <alignment horizontal="center" vertical="center" wrapText="1"/>
      <protection/>
    </xf>
    <xf numFmtId="10" fontId="53" fillId="0" borderId="51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53" xfId="0" applyFill="1" applyBorder="1" applyAlignment="1" applyProtection="1">
      <alignment horizontal="right" vertical="center" wrapText="1" indent="1"/>
      <protection/>
    </xf>
    <xf numFmtId="0" fontId="0" fillId="0" borderId="60" xfId="0" applyFill="1" applyBorder="1" applyAlignment="1">
      <alignment vertical="center" wrapText="1"/>
    </xf>
    <xf numFmtId="3" fontId="2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71" xfId="0" applyFont="1" applyFill="1" applyBorder="1" applyAlignment="1" applyProtection="1">
      <alignment horizontal="center" vertical="center" wrapText="1"/>
      <protection/>
    </xf>
    <xf numFmtId="0" fontId="53" fillId="0" borderId="61" xfId="0" applyFont="1" applyFill="1" applyBorder="1" applyAlignment="1" applyProtection="1">
      <alignment horizontal="left" vertical="center" wrapText="1" indent="1"/>
      <protection/>
    </xf>
    <xf numFmtId="0" fontId="45" fillId="0" borderId="72" xfId="106" applyFont="1" applyFill="1" applyBorder="1" applyAlignment="1" applyProtection="1">
      <alignment horizontal="left" vertical="center" wrapText="1" indent="1"/>
      <protection/>
    </xf>
    <xf numFmtId="0" fontId="45" fillId="0" borderId="73" xfId="106" applyFont="1" applyFill="1" applyBorder="1" applyAlignment="1" applyProtection="1">
      <alignment horizontal="left" vertical="center" wrapText="1" indent="1"/>
      <protection/>
    </xf>
    <xf numFmtId="0" fontId="53" fillId="0" borderId="71" xfId="106" applyFont="1" applyFill="1" applyBorder="1" applyAlignment="1" applyProtection="1">
      <alignment horizontal="left" vertical="center" wrapText="1" indent="1"/>
      <protection/>
    </xf>
    <xf numFmtId="0" fontId="45" fillId="0" borderId="74" xfId="106" applyFont="1" applyFill="1" applyBorder="1" applyAlignment="1" applyProtection="1">
      <alignment horizontal="left" vertical="center" wrapText="1" indent="1"/>
      <protection/>
    </xf>
    <xf numFmtId="0" fontId="50" fillId="0" borderId="38" xfId="0" applyFont="1" applyBorder="1" applyAlignment="1" applyProtection="1">
      <alignment horizontal="left" wrapText="1" indent="1"/>
      <protection/>
    </xf>
    <xf numFmtId="10" fontId="45" fillId="0" borderId="33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9" fontId="49" fillId="0" borderId="53" xfId="0" applyNumberFormat="1" applyFont="1" applyFill="1" applyBorder="1" applyAlignment="1" applyProtection="1">
      <alignment horizontal="center" vertical="center" wrapText="1"/>
      <protection/>
    </xf>
    <xf numFmtId="10" fontId="45" fillId="0" borderId="25" xfId="0" applyNumberFormat="1" applyFont="1" applyFill="1" applyBorder="1" applyAlignment="1" applyProtection="1">
      <alignment horizontal="right" vertical="center" wrapText="1" indent="1"/>
      <protection/>
    </xf>
    <xf numFmtId="169" fontId="49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0" fillId="0" borderId="60" xfId="0" applyFont="1" applyFill="1" applyBorder="1" applyAlignment="1" applyProtection="1">
      <alignment horizontal="right" vertical="center" wrapText="1" indent="1"/>
      <protection/>
    </xf>
    <xf numFmtId="0" fontId="28" fillId="0" borderId="51" xfId="0" applyFont="1" applyFill="1" applyBorder="1" applyAlignment="1">
      <alignment vertical="center"/>
    </xf>
    <xf numFmtId="10" fontId="53" fillId="0" borderId="48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75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7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7" xfId="0" applyFont="1" applyFill="1" applyBorder="1" applyAlignment="1" applyProtection="1">
      <alignment horizontal="right" vertical="center" wrapText="1" indent="1"/>
      <protection/>
    </xf>
    <xf numFmtId="3" fontId="28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2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0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23" xfId="104" applyFont="1" applyBorder="1" applyAlignment="1">
      <alignment horizontal="center" vertical="center" wrapText="1"/>
      <protection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3" fontId="15" fillId="0" borderId="19" xfId="103" applyNumberFormat="1" applyFont="1" applyFill="1" applyBorder="1" applyAlignment="1">
      <alignment vertical="center"/>
      <protection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19" xfId="103" applyNumberFormat="1" applyFont="1" applyFill="1" applyBorder="1" applyAlignment="1">
      <alignment horizontal="right" vertical="center"/>
      <protection/>
    </xf>
    <xf numFmtId="3" fontId="12" fillId="0" borderId="43" xfId="103" applyNumberFormat="1" applyFont="1" applyFill="1" applyBorder="1" applyAlignment="1">
      <alignment horizontal="right" vertical="center"/>
      <protection/>
    </xf>
    <xf numFmtId="10" fontId="15" fillId="0" borderId="25" xfId="103" applyNumberFormat="1" applyFont="1" applyFill="1" applyBorder="1" applyAlignment="1">
      <alignment vertical="center"/>
      <protection/>
    </xf>
    <xf numFmtId="3" fontId="15" fillId="0" borderId="19" xfId="0" applyNumberFormat="1" applyFont="1" applyFill="1" applyBorder="1" applyAlignment="1">
      <alignment vertical="center"/>
    </xf>
    <xf numFmtId="3" fontId="15" fillId="0" borderId="19" xfId="103" applyNumberFormat="1" applyFont="1" applyFill="1" applyBorder="1" applyAlignment="1">
      <alignment vertical="center"/>
      <protection/>
    </xf>
    <xf numFmtId="0" fontId="11" fillId="0" borderId="56" xfId="103" applyFont="1" applyBorder="1">
      <alignment/>
      <protection/>
    </xf>
    <xf numFmtId="0" fontId="11" fillId="0" borderId="56" xfId="103" applyFont="1" applyFill="1" applyBorder="1">
      <alignment/>
      <protection/>
    </xf>
    <xf numFmtId="0" fontId="12" fillId="1" borderId="41" xfId="103" applyFont="1" applyFill="1" applyBorder="1" applyAlignment="1">
      <alignment horizontal="center" vertical="center" wrapText="1"/>
      <protection/>
    </xf>
    <xf numFmtId="0" fontId="7" fillId="0" borderId="33" xfId="0" applyFont="1" applyBorder="1" applyAlignment="1">
      <alignment horizontal="left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2" fillId="0" borderId="43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10" fontId="2" fillId="0" borderId="27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44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69" fillId="0" borderId="0" xfId="101" applyFont="1" applyFill="1" applyBorder="1" applyAlignment="1" applyProtection="1">
      <alignment horizontal="center" vertical="center"/>
      <protection/>
    </xf>
    <xf numFmtId="0" fontId="50" fillId="0" borderId="31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66" fillId="0" borderId="19" xfId="101" applyFont="1" applyBorder="1">
      <alignment/>
      <protection/>
    </xf>
    <xf numFmtId="0" fontId="58" fillId="0" borderId="0" xfId="101" applyFont="1" applyFill="1" applyAlignment="1">
      <alignment vertical="center"/>
      <protection/>
    </xf>
    <xf numFmtId="0" fontId="1" fillId="0" borderId="19" xfId="101" applyBorder="1">
      <alignment/>
      <protection/>
    </xf>
    <xf numFmtId="0" fontId="1" fillId="0" borderId="19" xfId="101" applyFont="1" applyBorder="1">
      <alignment/>
      <protection/>
    </xf>
    <xf numFmtId="0" fontId="66" fillId="0" borderId="32" xfId="101" applyFont="1" applyBorder="1">
      <alignment/>
      <protection/>
    </xf>
    <xf numFmtId="0" fontId="66" fillId="0" borderId="36" xfId="101" applyFont="1" applyBorder="1">
      <alignment/>
      <protection/>
    </xf>
    <xf numFmtId="0" fontId="66" fillId="0" borderId="31" xfId="101" applyFont="1" applyBorder="1" applyAlignment="1">
      <alignment vertical="center"/>
      <protection/>
    </xf>
    <xf numFmtId="0" fontId="1" fillId="0" borderId="0" xfId="101" applyFill="1" applyAlignment="1">
      <alignment vertical="center"/>
      <protection/>
    </xf>
    <xf numFmtId="0" fontId="66" fillId="0" borderId="31" xfId="101" applyFont="1" applyFill="1" applyBorder="1" applyAlignment="1">
      <alignment vertical="center"/>
      <protection/>
    </xf>
    <xf numFmtId="0" fontId="66" fillId="0" borderId="56" xfId="101" applyFont="1" applyFill="1" applyBorder="1">
      <alignment/>
      <protection/>
    </xf>
    <xf numFmtId="0" fontId="66" fillId="0" borderId="0" xfId="101" applyFont="1" applyFill="1">
      <alignment/>
      <protection/>
    </xf>
    <xf numFmtId="0" fontId="66" fillId="0" borderId="0" xfId="101" applyFont="1" applyFill="1" applyAlignment="1">
      <alignment vertical="center"/>
      <protection/>
    </xf>
    <xf numFmtId="0" fontId="66" fillId="0" borderId="31" xfId="101" applyFont="1" applyFill="1" applyBorder="1">
      <alignment/>
      <protection/>
    </xf>
    <xf numFmtId="0" fontId="70" fillId="0" borderId="40" xfId="10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0" xfId="101" applyFont="1" applyFill="1">
      <alignment/>
      <protection/>
    </xf>
    <xf numFmtId="0" fontId="50" fillId="0" borderId="27" xfId="101" applyFont="1" applyFill="1" applyBorder="1" applyAlignment="1" applyProtection="1">
      <alignment horizontal="center" vertical="center" wrapText="1"/>
      <protection/>
    </xf>
    <xf numFmtId="3" fontId="66" fillId="0" borderId="41" xfId="101" applyNumberFormat="1" applyFont="1" applyBorder="1" applyAlignment="1">
      <alignment horizontal="right"/>
      <protection/>
    </xf>
    <xf numFmtId="3" fontId="1" fillId="0" borderId="24" xfId="101" applyNumberFormat="1" applyFont="1" applyBorder="1" applyAlignment="1">
      <alignment horizontal="right"/>
      <protection/>
    </xf>
    <xf numFmtId="3" fontId="66" fillId="0" borderId="24" xfId="101" applyNumberFormat="1" applyFont="1" applyBorder="1" applyAlignment="1">
      <alignment horizontal="right"/>
      <protection/>
    </xf>
    <xf numFmtId="3" fontId="66" fillId="0" borderId="27" xfId="101" applyNumberFormat="1" applyFont="1" applyBorder="1" applyAlignment="1">
      <alignment horizontal="right" vertical="center"/>
      <protection/>
    </xf>
    <xf numFmtId="3" fontId="66" fillId="0" borderId="27" xfId="101" applyNumberFormat="1" applyFont="1" applyFill="1" applyBorder="1" applyAlignment="1">
      <alignment vertical="center"/>
      <protection/>
    </xf>
    <xf numFmtId="3" fontId="66" fillId="0" borderId="41" xfId="101" applyNumberFormat="1" applyFont="1" applyFill="1" applyBorder="1">
      <alignment/>
      <protection/>
    </xf>
    <xf numFmtId="3" fontId="1" fillId="0" borderId="24" xfId="101" applyNumberFormat="1" applyFont="1" applyFill="1" applyBorder="1">
      <alignment/>
      <protection/>
    </xf>
    <xf numFmtId="3" fontId="66" fillId="0" borderId="27" xfId="101" applyNumberFormat="1" applyFont="1" applyFill="1" applyBorder="1">
      <alignment/>
      <protection/>
    </xf>
    <xf numFmtId="3" fontId="66" fillId="0" borderId="24" xfId="101" applyNumberFormat="1" applyFont="1" applyBorder="1">
      <alignment/>
      <protection/>
    </xf>
    <xf numFmtId="3" fontId="66" fillId="0" borderId="28" xfId="101" applyNumberFormat="1" applyFont="1" applyBorder="1">
      <alignment/>
      <protection/>
    </xf>
    <xf numFmtId="3" fontId="70" fillId="0" borderId="20" xfId="101" applyNumberFormat="1" applyFont="1" applyBorder="1" applyAlignment="1">
      <alignment vertical="center"/>
      <protection/>
    </xf>
    <xf numFmtId="169" fontId="53" fillId="0" borderId="57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45" xfId="0" applyFont="1" applyFill="1" applyBorder="1" applyAlignment="1" applyProtection="1">
      <alignment horizontal="center" vertical="center" wrapText="1"/>
      <protection/>
    </xf>
    <xf numFmtId="49" fontId="45" fillId="0" borderId="53" xfId="106" applyNumberFormat="1" applyFont="1" applyFill="1" applyBorder="1" applyAlignment="1" applyProtection="1">
      <alignment horizontal="left" vertical="center" wrapText="1" indent="1"/>
      <protection/>
    </xf>
    <xf numFmtId="169" fontId="4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8" xfId="0" applyNumberFormat="1" applyFont="1" applyBorder="1" applyAlignment="1">
      <alignment horizontal="left"/>
    </xf>
    <xf numFmtId="49" fontId="7" fillId="0" borderId="66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3" fillId="0" borderId="55" xfId="103" applyFont="1" applyBorder="1" applyAlignment="1">
      <alignment vertical="center" wrapText="1"/>
      <protection/>
    </xf>
    <xf numFmtId="49" fontId="7" fillId="0" borderId="40" xfId="0" applyNumberFormat="1" applyFont="1" applyBorder="1" applyAlignment="1">
      <alignment horizontal="left" vertical="center"/>
    </xf>
    <xf numFmtId="49" fontId="7" fillId="0" borderId="66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left" vertical="center"/>
    </xf>
    <xf numFmtId="3" fontId="7" fillId="0" borderId="23" xfId="0" applyNumberFormat="1" applyFont="1" applyFill="1" applyBorder="1" applyAlignment="1">
      <alignment vertical="center"/>
    </xf>
    <xf numFmtId="0" fontId="66" fillId="0" borderId="19" xfId="101" applyFont="1" applyFill="1" applyBorder="1">
      <alignment/>
      <protection/>
    </xf>
    <xf numFmtId="3" fontId="66" fillId="0" borderId="24" xfId="101" applyNumberFormat="1" applyFont="1" applyFill="1" applyBorder="1">
      <alignment/>
      <protection/>
    </xf>
    <xf numFmtId="0" fontId="1" fillId="0" borderId="32" xfId="101" applyFont="1" applyFill="1" applyBorder="1">
      <alignment/>
      <protection/>
    </xf>
    <xf numFmtId="0" fontId="66" fillId="0" borderId="40" xfId="101" applyFont="1" applyFill="1" applyBorder="1">
      <alignment/>
      <protection/>
    </xf>
    <xf numFmtId="3" fontId="66" fillId="0" borderId="20" xfId="101" applyNumberFormat="1" applyFont="1" applyFill="1" applyBorder="1">
      <alignment/>
      <protection/>
    </xf>
    <xf numFmtId="3" fontId="66" fillId="0" borderId="20" xfId="101" applyNumberFormat="1" applyFont="1" applyBorder="1" applyAlignment="1">
      <alignment horizontal="right"/>
      <protection/>
    </xf>
    <xf numFmtId="0" fontId="15" fillId="0" borderId="19" xfId="103" applyFont="1" applyFill="1" applyBorder="1" applyAlignment="1">
      <alignment horizontal="right" wrapText="1"/>
      <protection/>
    </xf>
    <xf numFmtId="0" fontId="71" fillId="0" borderId="0" xfId="103" applyFont="1" applyAlignment="1">
      <alignment horizontal="right"/>
      <protection/>
    </xf>
    <xf numFmtId="0" fontId="72" fillId="0" borderId="0" xfId="103" applyFont="1" applyAlignment="1">
      <alignment horizontal="center"/>
      <protection/>
    </xf>
    <xf numFmtId="0" fontId="73" fillId="0" borderId="0" xfId="103" applyFont="1" applyAlignment="1">
      <alignment horizontal="center"/>
      <protection/>
    </xf>
    <xf numFmtId="0" fontId="19" fillId="0" borderId="0" xfId="103" applyFont="1" applyAlignment="1">
      <alignment horizontal="center"/>
      <protection/>
    </xf>
    <xf numFmtId="0" fontId="19" fillId="0" borderId="0" xfId="105">
      <alignment/>
      <protection/>
    </xf>
    <xf numFmtId="0" fontId="71" fillId="0" borderId="0" xfId="103" applyFont="1">
      <alignment/>
      <protection/>
    </xf>
    <xf numFmtId="3" fontId="11" fillId="0" borderId="0" xfId="103" applyNumberFormat="1">
      <alignment/>
      <protection/>
    </xf>
    <xf numFmtId="0" fontId="13" fillId="0" borderId="43" xfId="103" applyFont="1" applyBorder="1" applyAlignment="1">
      <alignment horizontal="center" vertical="center" wrapText="1"/>
      <protection/>
    </xf>
    <xf numFmtId="0" fontId="11" fillId="0" borderId="56" xfId="103" applyBorder="1" applyAlignment="1">
      <alignment vertical="center" wrapText="1"/>
      <protection/>
    </xf>
    <xf numFmtId="0" fontId="11" fillId="0" borderId="0" xfId="103" applyAlignment="1">
      <alignment vertical="center" wrapText="1"/>
      <protection/>
    </xf>
    <xf numFmtId="168" fontId="74" fillId="0" borderId="67" xfId="105" applyNumberFormat="1" applyFont="1" applyBorder="1" applyAlignment="1">
      <alignment horizontal="center" vertical="center" wrapText="1"/>
      <protection/>
    </xf>
    <xf numFmtId="3" fontId="74" fillId="0" borderId="49" xfId="105" applyNumberFormat="1" applyFont="1" applyBorder="1" applyAlignment="1">
      <alignment horizontal="center" vertical="center" wrapText="1"/>
      <protection/>
    </xf>
    <xf numFmtId="3" fontId="74" fillId="0" borderId="42" xfId="105" applyNumberFormat="1" applyFont="1" applyBorder="1" applyAlignment="1">
      <alignment horizontal="center" vertical="center" wrapText="1"/>
      <protection/>
    </xf>
    <xf numFmtId="3" fontId="74" fillId="0" borderId="57" xfId="105" applyNumberFormat="1" applyFont="1" applyBorder="1" applyAlignment="1">
      <alignment horizontal="center" vertical="center" wrapText="1"/>
      <protection/>
    </xf>
    <xf numFmtId="3" fontId="76" fillId="0" borderId="22" xfId="105" applyNumberFormat="1" applyFont="1" applyFill="1" applyBorder="1" applyAlignment="1">
      <alignment vertical="top"/>
      <protection/>
    </xf>
    <xf numFmtId="3" fontId="76" fillId="0" borderId="46" xfId="105" applyNumberFormat="1" applyFont="1" applyFill="1" applyBorder="1" applyAlignment="1">
      <alignment vertical="top"/>
      <protection/>
    </xf>
    <xf numFmtId="10" fontId="76" fillId="0" borderId="47" xfId="105" applyNumberFormat="1" applyFont="1" applyFill="1" applyBorder="1" applyAlignment="1">
      <alignment vertical="top"/>
      <protection/>
    </xf>
    <xf numFmtId="3" fontId="76" fillId="0" borderId="47" xfId="105" applyNumberFormat="1" applyFont="1" applyFill="1" applyBorder="1" applyAlignment="1">
      <alignment vertical="top"/>
      <protection/>
    </xf>
    <xf numFmtId="0" fontId="75" fillId="0" borderId="33" xfId="105" applyFont="1" applyFill="1" applyBorder="1" applyAlignment="1">
      <alignment horizontal="left"/>
      <protection/>
    </xf>
    <xf numFmtId="3" fontId="76" fillId="0" borderId="19" xfId="105" applyNumberFormat="1" applyFont="1" applyFill="1" applyBorder="1" applyAlignment="1">
      <alignment vertical="top"/>
      <protection/>
    </xf>
    <xf numFmtId="3" fontId="76" fillId="0" borderId="24" xfId="105" applyNumberFormat="1" applyFont="1" applyFill="1" applyBorder="1" applyAlignment="1">
      <alignment vertical="top"/>
      <protection/>
    </xf>
    <xf numFmtId="10" fontId="76" fillId="0" borderId="25" xfId="105" applyNumberFormat="1" applyFont="1" applyFill="1" applyBorder="1" applyAlignment="1">
      <alignment vertical="top"/>
      <protection/>
    </xf>
    <xf numFmtId="3" fontId="76" fillId="0" borderId="25" xfId="105" applyNumberFormat="1" applyFont="1" applyFill="1" applyBorder="1" applyAlignment="1">
      <alignment vertical="top"/>
      <protection/>
    </xf>
    <xf numFmtId="3" fontId="76" fillId="0" borderId="19" xfId="105" applyNumberFormat="1" applyFont="1" applyFill="1" applyBorder="1">
      <alignment/>
      <protection/>
    </xf>
    <xf numFmtId="3" fontId="76" fillId="0" borderId="24" xfId="105" applyNumberFormat="1" applyFont="1" applyFill="1" applyBorder="1">
      <alignment/>
      <protection/>
    </xf>
    <xf numFmtId="3" fontId="76" fillId="0" borderId="25" xfId="105" applyNumberFormat="1" applyFont="1" applyFill="1" applyBorder="1">
      <alignment/>
      <protection/>
    </xf>
    <xf numFmtId="0" fontId="11" fillId="0" borderId="43" xfId="103" applyFont="1" applyBorder="1" applyAlignment="1">
      <alignment horizontal="center" vertical="center"/>
      <protection/>
    </xf>
    <xf numFmtId="3" fontId="77" fillId="0" borderId="43" xfId="105" applyNumberFormat="1" applyFont="1" applyBorder="1" applyAlignment="1">
      <alignment vertical="center"/>
      <protection/>
    </xf>
    <xf numFmtId="3" fontId="77" fillId="0" borderId="27" xfId="105" applyNumberFormat="1" applyFont="1" applyBorder="1" applyAlignment="1">
      <alignment vertical="center"/>
      <protection/>
    </xf>
    <xf numFmtId="10" fontId="77" fillId="0" borderId="44" xfId="105" applyNumberFormat="1" applyFont="1" applyBorder="1" applyAlignment="1">
      <alignment vertical="center"/>
      <protection/>
    </xf>
    <xf numFmtId="3" fontId="17" fillId="0" borderId="0" xfId="103" applyNumberFormat="1" applyFont="1" applyAlignment="1">
      <alignment horizontal="right" vertical="center"/>
      <protection/>
    </xf>
    <xf numFmtId="0" fontId="79" fillId="0" borderId="0" xfId="103" applyFont="1" applyAlignment="1">
      <alignment vertical="center"/>
      <protection/>
    </xf>
    <xf numFmtId="0" fontId="80" fillId="0" borderId="56" xfId="103" applyFont="1" applyBorder="1" applyAlignment="1">
      <alignment vertical="center"/>
      <protection/>
    </xf>
    <xf numFmtId="0" fontId="23" fillId="50" borderId="53" xfId="103" applyFont="1" applyFill="1" applyBorder="1" applyAlignment="1">
      <alignment horizontal="center" vertical="center" wrapText="1"/>
      <protection/>
    </xf>
    <xf numFmtId="0" fontId="11" fillId="0" borderId="56" xfId="103" applyBorder="1" applyAlignment="1">
      <alignment vertical="center"/>
      <protection/>
    </xf>
    <xf numFmtId="0" fontId="23" fillId="50" borderId="36" xfId="103" applyFont="1" applyFill="1" applyBorder="1" applyAlignment="1">
      <alignment horizontal="center" vertical="center" wrapText="1"/>
      <protection/>
    </xf>
    <xf numFmtId="3" fontId="23" fillId="50" borderId="79" xfId="103" applyNumberFormat="1" applyFont="1" applyFill="1" applyBorder="1" applyAlignment="1">
      <alignment horizontal="center" vertical="center" wrapText="1"/>
      <protection/>
    </xf>
    <xf numFmtId="3" fontId="23" fillId="50" borderId="80" xfId="103" applyNumberFormat="1" applyFont="1" applyFill="1" applyBorder="1" applyAlignment="1">
      <alignment horizontal="center" vertical="center" wrapText="1"/>
      <protection/>
    </xf>
    <xf numFmtId="3" fontId="23" fillId="50" borderId="81" xfId="103" applyNumberFormat="1" applyFont="1" applyFill="1" applyBorder="1" applyAlignment="1">
      <alignment horizontal="center" vertical="center" wrapText="1"/>
      <protection/>
    </xf>
    <xf numFmtId="0" fontId="75" fillId="0" borderId="32" xfId="0" applyFont="1" applyBorder="1" applyAlignment="1">
      <alignment vertical="center" wrapText="1"/>
    </xf>
    <xf numFmtId="0" fontId="75" fillId="0" borderId="24" xfId="0" applyFont="1" applyBorder="1" applyAlignment="1">
      <alignment horizontal="center" vertical="center" wrapText="1"/>
    </xf>
    <xf numFmtId="3" fontId="32" fillId="0" borderId="24" xfId="103" applyNumberFormat="1" applyFont="1" applyBorder="1" applyAlignment="1">
      <alignment horizontal="right" vertical="center" wrapText="1"/>
      <protection/>
    </xf>
    <xf numFmtId="3" fontId="32" fillId="0" borderId="41" xfId="103" applyNumberFormat="1" applyFont="1" applyBorder="1" applyAlignment="1">
      <alignment horizontal="right" vertical="center" wrapText="1"/>
      <protection/>
    </xf>
    <xf numFmtId="10" fontId="32" fillId="0" borderId="41" xfId="103" applyNumberFormat="1" applyFont="1" applyBorder="1" applyAlignment="1">
      <alignment horizontal="right" vertical="center" wrapText="1"/>
      <protection/>
    </xf>
    <xf numFmtId="10" fontId="32" fillId="0" borderId="24" xfId="103" applyNumberFormat="1" applyFont="1" applyBorder="1" applyAlignment="1">
      <alignment horizontal="right" vertical="center" wrapText="1"/>
      <protection/>
    </xf>
    <xf numFmtId="10" fontId="32" fillId="0" borderId="25" xfId="103" applyNumberFormat="1" applyFont="1" applyBorder="1" applyAlignment="1">
      <alignment horizontal="right" vertical="center" wrapText="1"/>
      <protection/>
    </xf>
    <xf numFmtId="3" fontId="32" fillId="0" borderId="24" xfId="103" applyNumberFormat="1" applyFont="1" applyFill="1" applyBorder="1" applyAlignment="1">
      <alignment vertical="center"/>
      <protection/>
    </xf>
    <xf numFmtId="3" fontId="23" fillId="50" borderId="82" xfId="103" applyNumberFormat="1" applyFont="1" applyFill="1" applyBorder="1" applyAlignment="1">
      <alignment horizontal="center" vertical="center" wrapText="1"/>
      <protection/>
    </xf>
    <xf numFmtId="3" fontId="23" fillId="50" borderId="83" xfId="103" applyNumberFormat="1" applyFont="1" applyFill="1" applyBorder="1" applyAlignment="1">
      <alignment horizontal="center" vertical="center" wrapText="1"/>
      <protection/>
    </xf>
    <xf numFmtId="3" fontId="38" fillId="50" borderId="83" xfId="103" applyNumberFormat="1" applyFont="1" applyFill="1" applyBorder="1" applyAlignment="1">
      <alignment horizontal="right" vertical="center" wrapText="1"/>
      <protection/>
    </xf>
    <xf numFmtId="10" fontId="38" fillId="50" borderId="83" xfId="103" applyNumberFormat="1" applyFont="1" applyFill="1" applyBorder="1" applyAlignment="1">
      <alignment horizontal="right" vertical="center" wrapText="1"/>
      <protection/>
    </xf>
    <xf numFmtId="3" fontId="23" fillId="0" borderId="0" xfId="103" applyNumberFormat="1" applyFont="1" applyFill="1" applyBorder="1" applyAlignment="1">
      <alignment horizontal="center" vertical="center" wrapText="1"/>
      <protection/>
    </xf>
    <xf numFmtId="3" fontId="38" fillId="0" borderId="0" xfId="103" applyNumberFormat="1" applyFont="1" applyFill="1" applyBorder="1" applyAlignment="1">
      <alignment horizontal="right" vertical="center" wrapText="1"/>
      <protection/>
    </xf>
    <xf numFmtId="0" fontId="80" fillId="0" borderId="0" xfId="103" applyFont="1" applyAlignment="1">
      <alignment vertical="center"/>
      <protection/>
    </xf>
    <xf numFmtId="0" fontId="11" fillId="0" borderId="56" xfId="103" applyFill="1" applyBorder="1" applyAlignment="1">
      <alignment vertical="center"/>
      <protection/>
    </xf>
    <xf numFmtId="0" fontId="11" fillId="0" borderId="0" xfId="103" applyFill="1" applyAlignment="1">
      <alignment vertical="center"/>
      <protection/>
    </xf>
    <xf numFmtId="0" fontId="23" fillId="50" borderId="84" xfId="103" applyFont="1" applyFill="1" applyBorder="1" applyAlignment="1">
      <alignment horizontal="center" vertical="center" wrapText="1"/>
      <protection/>
    </xf>
    <xf numFmtId="0" fontId="23" fillId="50" borderId="80" xfId="103" applyFont="1" applyFill="1" applyBorder="1" applyAlignment="1">
      <alignment horizontal="center" vertical="center" wrapText="1"/>
      <protection/>
    </xf>
    <xf numFmtId="0" fontId="75" fillId="0" borderId="34" xfId="0" applyFont="1" applyFill="1" applyBorder="1" applyAlignment="1">
      <alignment vertical="center" wrapText="1"/>
    </xf>
    <xf numFmtId="0" fontId="75" fillId="0" borderId="41" xfId="0" applyFont="1" applyFill="1" applyBorder="1" applyAlignment="1">
      <alignment horizontal="center" vertical="center" wrapText="1"/>
    </xf>
    <xf numFmtId="3" fontId="32" fillId="0" borderId="41" xfId="103" applyNumberFormat="1" applyFont="1" applyFill="1" applyBorder="1" applyAlignment="1">
      <alignment horizontal="right" vertical="center" wrapText="1"/>
      <protection/>
    </xf>
    <xf numFmtId="3" fontId="32" fillId="0" borderId="24" xfId="103" applyNumberFormat="1" applyFont="1" applyFill="1" applyBorder="1" applyAlignment="1">
      <alignment horizontal="right" vertical="center" wrapText="1"/>
      <protection/>
    </xf>
    <xf numFmtId="0" fontId="75" fillId="0" borderId="32" xfId="0" applyFont="1" applyFill="1" applyBorder="1" applyAlignment="1">
      <alignment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75" fillId="0" borderId="85" xfId="0" applyFont="1" applyFill="1" applyBorder="1" applyAlignment="1">
      <alignment vertical="center" wrapText="1"/>
    </xf>
    <xf numFmtId="0" fontId="75" fillId="0" borderId="28" xfId="0" applyFont="1" applyFill="1" applyBorder="1" applyAlignment="1">
      <alignment horizontal="center" vertical="center" wrapText="1"/>
    </xf>
    <xf numFmtId="3" fontId="32" fillId="0" borderId="28" xfId="103" applyNumberFormat="1" applyFont="1" applyFill="1" applyBorder="1" applyAlignment="1">
      <alignment horizontal="right" vertical="center" wrapText="1"/>
      <protection/>
    </xf>
    <xf numFmtId="0" fontId="75" fillId="0" borderId="56" xfId="0" applyFont="1" applyFill="1" applyBorder="1" applyAlignment="1">
      <alignment vertical="center" wrapText="1"/>
    </xf>
    <xf numFmtId="0" fontId="75" fillId="0" borderId="53" xfId="0" applyFont="1" applyFill="1" applyBorder="1" applyAlignment="1">
      <alignment horizontal="center" vertical="center" wrapText="1"/>
    </xf>
    <xf numFmtId="3" fontId="32" fillId="0" borderId="53" xfId="103" applyNumberFormat="1" applyFont="1" applyFill="1" applyBorder="1" applyAlignment="1">
      <alignment horizontal="right" vertical="center" wrapText="1"/>
      <protection/>
    </xf>
    <xf numFmtId="10" fontId="11" fillId="0" borderId="0" xfId="103" applyNumberFormat="1" applyAlignment="1">
      <alignment vertical="center"/>
      <protection/>
    </xf>
    <xf numFmtId="0" fontId="29" fillId="0" borderId="0" xfId="106" applyFont="1" applyFill="1" applyAlignment="1">
      <alignment vertical="center"/>
      <protection/>
    </xf>
    <xf numFmtId="169" fontId="27" fillId="0" borderId="0" xfId="106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6" fillId="0" borderId="22" xfId="106" applyFont="1" applyFill="1" applyBorder="1" applyAlignment="1" applyProtection="1">
      <alignment horizontal="center" vertical="center" wrapText="1"/>
      <protection/>
    </xf>
    <xf numFmtId="0" fontId="46" fillId="0" borderId="46" xfId="106" applyFont="1" applyFill="1" applyBorder="1" applyAlignment="1" applyProtection="1">
      <alignment horizontal="center" vertical="center" wrapText="1"/>
      <protection/>
    </xf>
    <xf numFmtId="0" fontId="46" fillId="0" borderId="47" xfId="106" applyFont="1" applyFill="1" applyBorder="1" applyAlignment="1" applyProtection="1">
      <alignment horizontal="center" vertical="center" wrapText="1"/>
      <protection/>
    </xf>
    <xf numFmtId="0" fontId="30" fillId="0" borderId="43" xfId="106" applyFont="1" applyFill="1" applyBorder="1" applyAlignment="1" applyProtection="1">
      <alignment horizontal="center" vertical="center"/>
      <protection/>
    </xf>
    <xf numFmtId="0" fontId="30" fillId="0" borderId="27" xfId="106" applyFont="1" applyFill="1" applyBorder="1" applyAlignment="1" applyProtection="1">
      <alignment horizontal="center" vertical="center"/>
      <protection/>
    </xf>
    <xf numFmtId="0" fontId="30" fillId="0" borderId="44" xfId="106" applyFont="1" applyFill="1" applyBorder="1" applyAlignment="1" applyProtection="1">
      <alignment horizontal="center" vertical="center"/>
      <protection/>
    </xf>
    <xf numFmtId="0" fontId="30" fillId="0" borderId="22" xfId="106" applyFont="1" applyFill="1" applyBorder="1" applyAlignment="1" applyProtection="1">
      <alignment horizontal="center" vertical="center"/>
      <protection/>
    </xf>
    <xf numFmtId="0" fontId="30" fillId="0" borderId="41" xfId="106" applyFont="1" applyFill="1" applyBorder="1" applyAlignment="1" applyProtection="1">
      <alignment vertical="center"/>
      <protection/>
    </xf>
    <xf numFmtId="170" fontId="30" fillId="0" borderId="47" xfId="68" applyNumberFormat="1" applyFont="1" applyFill="1" applyBorder="1" applyAlignment="1" applyProtection="1">
      <alignment vertical="center"/>
      <protection locked="0"/>
    </xf>
    <xf numFmtId="0" fontId="30" fillId="0" borderId="26" xfId="106" applyFont="1" applyFill="1" applyBorder="1" applyAlignment="1" applyProtection="1">
      <alignment horizontal="center" vertical="center"/>
      <protection/>
    </xf>
    <xf numFmtId="170" fontId="30" fillId="0" borderId="58" xfId="68" applyNumberFormat="1" applyFont="1" applyFill="1" applyBorder="1" applyAlignment="1" applyProtection="1">
      <alignment vertical="center"/>
      <protection locked="0"/>
    </xf>
    <xf numFmtId="0" fontId="30" fillId="0" borderId="19" xfId="106" applyFont="1" applyFill="1" applyBorder="1" applyAlignment="1" applyProtection="1">
      <alignment horizontal="center" vertical="center"/>
      <protection/>
    </xf>
    <xf numFmtId="0" fontId="76" fillId="0" borderId="24" xfId="0" applyFont="1" applyFill="1" applyBorder="1" applyAlignment="1">
      <alignment horizontal="justify" vertical="center" wrapText="1"/>
    </xf>
    <xf numFmtId="170" fontId="30" fillId="0" borderId="25" xfId="68" applyNumberFormat="1" applyFont="1" applyFill="1" applyBorder="1" applyAlignment="1" applyProtection="1">
      <alignment vertical="center"/>
      <protection locked="0"/>
    </xf>
    <xf numFmtId="0" fontId="76" fillId="0" borderId="24" xfId="0" applyFont="1" applyFill="1" applyBorder="1" applyAlignment="1">
      <alignment vertical="center" wrapText="1"/>
    </xf>
    <xf numFmtId="170" fontId="30" fillId="0" borderId="59" xfId="68" applyNumberFormat="1" applyFont="1" applyFill="1" applyBorder="1" applyAlignment="1" applyProtection="1">
      <alignment vertical="center"/>
      <protection locked="0"/>
    </xf>
    <xf numFmtId="170" fontId="46" fillId="0" borderId="44" xfId="68" applyNumberFormat="1" applyFont="1" applyFill="1" applyBorder="1" applyAlignment="1" applyProtection="1">
      <alignment vertical="center"/>
      <protection/>
    </xf>
    <xf numFmtId="0" fontId="45" fillId="0" borderId="0" xfId="106" applyFont="1" applyFill="1" applyBorder="1" applyAlignment="1">
      <alignment horizontal="justify" vertical="center" wrapText="1"/>
      <protection/>
    </xf>
    <xf numFmtId="169" fontId="9" fillId="0" borderId="0" xfId="0" applyNumberFormat="1" applyFont="1" applyFill="1" applyAlignment="1">
      <alignment horizontal="left" vertical="center" wrapText="1"/>
    </xf>
    <xf numFmtId="10" fontId="3" fillId="0" borderId="27" xfId="0" applyNumberFormat="1" applyFont="1" applyFill="1" applyBorder="1" applyAlignment="1">
      <alignment vertical="center"/>
    </xf>
    <xf numFmtId="10" fontId="7" fillId="0" borderId="41" xfId="0" applyNumberFormat="1" applyFont="1" applyFill="1" applyBorder="1" applyAlignment="1">
      <alignment vertical="center"/>
    </xf>
    <xf numFmtId="10" fontId="3" fillId="0" borderId="27" xfId="0" applyNumberFormat="1" applyFont="1" applyBorder="1" applyAlignment="1">
      <alignment vertical="center"/>
    </xf>
    <xf numFmtId="10" fontId="7" fillId="0" borderId="25" xfId="0" applyNumberFormat="1" applyFont="1" applyFill="1" applyBorder="1" applyAlignment="1">
      <alignment horizontal="right" vertical="center"/>
    </xf>
    <xf numFmtId="10" fontId="7" fillId="0" borderId="21" xfId="0" applyNumberFormat="1" applyFont="1" applyFill="1" applyBorder="1" applyAlignment="1">
      <alignment horizontal="right" vertical="center"/>
    </xf>
    <xf numFmtId="10" fontId="5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44" xfId="0" applyNumberFormat="1" applyFont="1" applyFill="1" applyBorder="1" applyAlignment="1">
      <alignment horizontal="right" vertical="center" wrapText="1"/>
    </xf>
    <xf numFmtId="10" fontId="3" fillId="49" borderId="44" xfId="0" applyNumberFormat="1" applyFont="1" applyFill="1" applyBorder="1" applyAlignment="1">
      <alignment horizontal="right" vertical="center" wrapText="1"/>
    </xf>
    <xf numFmtId="10" fontId="7" fillId="0" borderId="25" xfId="0" applyNumberFormat="1" applyFont="1" applyFill="1" applyBorder="1" applyAlignment="1">
      <alignment horizontal="right" vertical="center" wrapText="1"/>
    </xf>
    <xf numFmtId="10" fontId="7" fillId="0" borderId="21" xfId="0" applyNumberFormat="1" applyFont="1" applyFill="1" applyBorder="1" applyAlignment="1">
      <alignment horizontal="right" vertical="center" wrapText="1"/>
    </xf>
    <xf numFmtId="10" fontId="3" fillId="0" borderId="44" xfId="0" applyNumberFormat="1" applyFont="1" applyFill="1" applyBorder="1" applyAlignment="1">
      <alignment horizontal="right" vertical="center"/>
    </xf>
    <xf numFmtId="10" fontId="7" fillId="0" borderId="58" xfId="0" applyNumberFormat="1" applyFont="1" applyFill="1" applyBorder="1" applyAlignment="1">
      <alignment horizontal="right" vertical="center"/>
    </xf>
    <xf numFmtId="10" fontId="3" fillId="0" borderId="44" xfId="0" applyNumberFormat="1" applyFont="1" applyFill="1" applyBorder="1" applyAlignment="1">
      <alignment vertical="center"/>
    </xf>
    <xf numFmtId="10" fontId="7" fillId="0" borderId="59" xfId="0" applyNumberFormat="1" applyFont="1" applyFill="1" applyBorder="1" applyAlignment="1">
      <alignment vertical="center"/>
    </xf>
    <xf numFmtId="10" fontId="7" fillId="0" borderId="25" xfId="0" applyNumberFormat="1" applyFont="1" applyFill="1" applyBorder="1" applyAlignment="1">
      <alignment vertical="center"/>
    </xf>
    <xf numFmtId="10" fontId="3" fillId="0" borderId="44" xfId="0" applyNumberFormat="1" applyFont="1" applyBorder="1" applyAlignment="1">
      <alignment vertical="center"/>
    </xf>
    <xf numFmtId="10" fontId="3" fillId="0" borderId="50" xfId="0" applyNumberFormat="1" applyFont="1" applyFill="1" applyBorder="1" applyAlignment="1">
      <alignment horizontal="centerContinuous" vertical="center" wrapText="1"/>
    </xf>
    <xf numFmtId="10" fontId="7" fillId="0" borderId="58" xfId="0" applyNumberFormat="1" applyFont="1" applyFill="1" applyBorder="1" applyAlignment="1">
      <alignment vertical="center"/>
    </xf>
    <xf numFmtId="10" fontId="39" fillId="0" borderId="44" xfId="0" applyNumberFormat="1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10" fontId="7" fillId="0" borderId="59" xfId="0" applyNumberFormat="1" applyFont="1" applyBorder="1" applyAlignment="1">
      <alignment vertical="center"/>
    </xf>
    <xf numFmtId="169" fontId="45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7" xfId="0" applyFill="1" applyBorder="1" applyAlignment="1" applyProtection="1">
      <alignment horizontal="right" vertical="center" wrapText="1" indent="1"/>
      <protection/>
    </xf>
    <xf numFmtId="10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7" xfId="0" applyFont="1" applyFill="1" applyBorder="1" applyAlignment="1" applyProtection="1">
      <alignment horizontal="right" vertical="center" wrapText="1" indent="1"/>
      <protection/>
    </xf>
    <xf numFmtId="169" fontId="49" fillId="0" borderId="60" xfId="0" applyNumberFormat="1" applyFont="1" applyFill="1" applyBorder="1" applyAlignment="1" applyProtection="1">
      <alignment horizontal="center" vertical="center" wrapText="1"/>
      <protection/>
    </xf>
    <xf numFmtId="3" fontId="12" fillId="0" borderId="27" xfId="103" applyNumberFormat="1" applyFont="1" applyFill="1" applyBorder="1" applyAlignment="1">
      <alignment horizontal="right" vertical="center"/>
      <protection/>
    </xf>
    <xf numFmtId="10" fontId="12" fillId="0" borderId="44" xfId="103" applyNumberFormat="1" applyFont="1" applyFill="1" applyBorder="1" applyAlignment="1">
      <alignment horizontal="right" vertical="center"/>
      <protection/>
    </xf>
    <xf numFmtId="3" fontId="15" fillId="0" borderId="24" xfId="103" applyNumberFormat="1" applyFont="1" applyFill="1" applyBorder="1" applyAlignment="1">
      <alignment vertical="center"/>
      <protection/>
    </xf>
    <xf numFmtId="10" fontId="41" fillId="0" borderId="64" xfId="103" applyNumberFormat="1" applyFont="1" applyFill="1" applyBorder="1" applyAlignment="1">
      <alignment horizontal="right"/>
      <protection/>
    </xf>
    <xf numFmtId="0" fontId="11" fillId="0" borderId="0" xfId="103" applyFont="1" applyBorder="1">
      <alignment/>
      <protection/>
    </xf>
    <xf numFmtId="3" fontId="18" fillId="0" borderId="91" xfId="103" applyNumberFormat="1" applyFont="1" applyBorder="1" applyAlignment="1">
      <alignment horizontal="right"/>
      <protection/>
    </xf>
    <xf numFmtId="3" fontId="18" fillId="0" borderId="92" xfId="103" applyNumberFormat="1" applyFont="1" applyBorder="1" applyAlignment="1">
      <alignment horizontal="right"/>
      <protection/>
    </xf>
    <xf numFmtId="10" fontId="18" fillId="0" borderId="21" xfId="103" applyNumberFormat="1" applyFont="1" applyFill="1" applyBorder="1" applyAlignment="1">
      <alignment horizontal="right"/>
      <protection/>
    </xf>
    <xf numFmtId="3" fontId="30" fillId="0" borderId="0" xfId="107" applyNumberFormat="1" applyFill="1" applyProtection="1">
      <alignment/>
      <protection/>
    </xf>
    <xf numFmtId="3" fontId="30" fillId="0" borderId="0" xfId="107" applyNumberFormat="1" applyFill="1" applyAlignment="1" applyProtection="1">
      <alignment wrapText="1"/>
      <protection locked="0"/>
    </xf>
    <xf numFmtId="3" fontId="30" fillId="0" borderId="0" xfId="107" applyNumberFormat="1" applyFill="1" applyProtection="1">
      <alignment/>
      <protection locked="0"/>
    </xf>
    <xf numFmtId="3" fontId="31" fillId="0" borderId="0" xfId="101" applyNumberFormat="1" applyFont="1" applyFill="1" applyAlignment="1">
      <alignment horizontal="right"/>
      <protection/>
    </xf>
    <xf numFmtId="3" fontId="49" fillId="0" borderId="49" xfId="107" applyNumberFormat="1" applyFont="1" applyFill="1" applyBorder="1" applyAlignment="1" applyProtection="1">
      <alignment horizontal="center" vertical="center" wrapText="1"/>
      <protection/>
    </xf>
    <xf numFmtId="3" fontId="49" fillId="0" borderId="42" xfId="107" applyNumberFormat="1" applyFont="1" applyFill="1" applyBorder="1" applyAlignment="1" applyProtection="1">
      <alignment horizontal="center" vertical="center" wrapText="1"/>
      <protection/>
    </xf>
    <xf numFmtId="3" fontId="49" fillId="0" borderId="42" xfId="107" applyNumberFormat="1" applyFont="1" applyFill="1" applyBorder="1" applyAlignment="1" applyProtection="1">
      <alignment horizontal="center" vertical="center"/>
      <protection/>
    </xf>
    <xf numFmtId="3" fontId="49" fillId="0" borderId="57" xfId="107" applyNumberFormat="1" applyFont="1" applyFill="1" applyBorder="1" applyAlignment="1" applyProtection="1">
      <alignment horizontal="center" vertical="center"/>
      <protection/>
    </xf>
    <xf numFmtId="3" fontId="45" fillId="0" borderId="43" xfId="107" applyNumberFormat="1" applyFont="1" applyFill="1" applyBorder="1" applyAlignment="1" applyProtection="1">
      <alignment horizontal="left" vertical="center" indent="1"/>
      <protection/>
    </xf>
    <xf numFmtId="3" fontId="30" fillId="0" borderId="0" xfId="107" applyNumberFormat="1" applyFill="1" applyAlignment="1" applyProtection="1">
      <alignment vertical="center"/>
      <protection/>
    </xf>
    <xf numFmtId="3" fontId="45" fillId="0" borderId="45" xfId="107" applyNumberFormat="1" applyFont="1" applyFill="1" applyBorder="1" applyAlignment="1" applyProtection="1">
      <alignment horizontal="left" vertical="center" indent="1"/>
      <protection/>
    </xf>
    <xf numFmtId="3" fontId="45" fillId="0" borderId="53" xfId="107" applyNumberFormat="1" applyFont="1" applyFill="1" applyBorder="1" applyAlignment="1" applyProtection="1">
      <alignment horizontal="left" vertical="center" wrapText="1"/>
      <protection/>
    </xf>
    <xf numFmtId="3" fontId="45" fillId="0" borderId="53" xfId="107" applyNumberFormat="1" applyFont="1" applyFill="1" applyBorder="1" applyAlignment="1" applyProtection="1">
      <alignment vertical="center"/>
      <protection locked="0"/>
    </xf>
    <xf numFmtId="3" fontId="45" fillId="0" borderId="60" xfId="107" applyNumberFormat="1" applyFont="1" applyFill="1" applyBorder="1" applyAlignment="1" applyProtection="1">
      <alignment vertical="center"/>
      <protection/>
    </xf>
    <xf numFmtId="3" fontId="45" fillId="0" borderId="19" xfId="107" applyNumberFormat="1" applyFont="1" applyFill="1" applyBorder="1" applyAlignment="1" applyProtection="1">
      <alignment horizontal="left" vertical="center" indent="1"/>
      <protection/>
    </xf>
    <xf numFmtId="3" fontId="45" fillId="0" borderId="24" xfId="107" applyNumberFormat="1" applyFont="1" applyFill="1" applyBorder="1" applyAlignment="1" applyProtection="1">
      <alignment horizontal="left" vertical="center" wrapText="1"/>
      <protection/>
    </xf>
    <xf numFmtId="3" fontId="45" fillId="0" borderId="24" xfId="107" applyNumberFormat="1" applyFont="1" applyFill="1" applyBorder="1" applyAlignment="1" applyProtection="1">
      <alignment vertical="center"/>
      <protection locked="0"/>
    </xf>
    <xf numFmtId="3" fontId="45" fillId="0" borderId="25" xfId="107" applyNumberFormat="1" applyFont="1" applyFill="1" applyBorder="1" applyAlignment="1" applyProtection="1">
      <alignment vertical="center"/>
      <protection/>
    </xf>
    <xf numFmtId="3" fontId="30" fillId="0" borderId="0" xfId="107" applyNumberFormat="1" applyFill="1" applyAlignment="1" applyProtection="1">
      <alignment vertical="center"/>
      <protection locked="0"/>
    </xf>
    <xf numFmtId="3" fontId="45" fillId="0" borderId="41" xfId="107" applyNumberFormat="1" applyFont="1" applyFill="1" applyBorder="1" applyAlignment="1" applyProtection="1">
      <alignment horizontal="left" vertical="center" wrapText="1"/>
      <protection/>
    </xf>
    <xf numFmtId="3" fontId="45" fillId="0" borderId="41" xfId="107" applyNumberFormat="1" applyFont="1" applyFill="1" applyBorder="1" applyAlignment="1" applyProtection="1">
      <alignment vertical="center"/>
      <protection locked="0"/>
    </xf>
    <xf numFmtId="3" fontId="49" fillId="0" borderId="27" xfId="107" applyNumberFormat="1" applyFont="1" applyFill="1" applyBorder="1" applyAlignment="1" applyProtection="1">
      <alignment horizontal="left" vertical="center" wrapText="1"/>
      <protection/>
    </xf>
    <xf numFmtId="3" fontId="53" fillId="0" borderId="27" xfId="107" applyNumberFormat="1" applyFont="1" applyFill="1" applyBorder="1" applyAlignment="1" applyProtection="1">
      <alignment vertical="center"/>
      <protection/>
    </xf>
    <xf numFmtId="3" fontId="53" fillId="0" borderId="44" xfId="107" applyNumberFormat="1" applyFont="1" applyFill="1" applyBorder="1" applyAlignment="1" applyProtection="1">
      <alignment vertical="center"/>
      <protection/>
    </xf>
    <xf numFmtId="3" fontId="45" fillId="0" borderId="58" xfId="107" applyNumberFormat="1" applyFont="1" applyFill="1" applyBorder="1" applyAlignment="1" applyProtection="1">
      <alignment vertical="center"/>
      <protection/>
    </xf>
    <xf numFmtId="3" fontId="49" fillId="0" borderId="27" xfId="107" applyNumberFormat="1" applyFont="1" applyFill="1" applyBorder="1" applyAlignment="1" applyProtection="1">
      <alignment horizontal="left" wrapText="1"/>
      <protection/>
    </xf>
    <xf numFmtId="3" fontId="53" fillId="0" borderId="27" xfId="107" applyNumberFormat="1" applyFont="1" applyFill="1" applyBorder="1" applyProtection="1">
      <alignment/>
      <protection/>
    </xf>
    <xf numFmtId="3" fontId="53" fillId="0" borderId="44" xfId="107" applyNumberFormat="1" applyFont="1" applyFill="1" applyBorder="1" applyProtection="1">
      <alignment/>
      <protection/>
    </xf>
    <xf numFmtId="3" fontId="59" fillId="0" borderId="0" xfId="107" applyNumberFormat="1" applyFont="1" applyFill="1" applyProtection="1">
      <alignment/>
      <protection/>
    </xf>
    <xf numFmtId="3" fontId="27" fillId="0" borderId="0" xfId="107" applyNumberFormat="1" applyFont="1" applyFill="1" applyAlignment="1" applyProtection="1">
      <alignment wrapText="1"/>
      <protection locked="0"/>
    </xf>
    <xf numFmtId="3" fontId="46" fillId="0" borderId="0" xfId="107" applyNumberFormat="1" applyFont="1" applyFill="1" applyProtection="1">
      <alignment/>
      <protection locked="0"/>
    </xf>
    <xf numFmtId="3" fontId="1" fillId="0" borderId="0" xfId="101" applyNumberFormat="1" applyAlignment="1">
      <alignment vertical="center" wrapText="1"/>
      <protection/>
    </xf>
    <xf numFmtId="3" fontId="1" fillId="0" borderId="0" xfId="101" applyNumberFormat="1" applyAlignment="1">
      <alignment vertical="center"/>
      <protection/>
    </xf>
    <xf numFmtId="3" fontId="1" fillId="0" borderId="0" xfId="101" applyNumberFormat="1" applyAlignment="1">
      <alignment horizontal="right" vertical="center"/>
      <protection/>
    </xf>
    <xf numFmtId="0" fontId="26" fillId="0" borderId="26" xfId="101" applyFont="1" applyFill="1" applyBorder="1" applyAlignment="1">
      <alignment vertical="center"/>
      <protection/>
    </xf>
    <xf numFmtId="0" fontId="26" fillId="0" borderId="23" xfId="101" applyFont="1" applyFill="1" applyBorder="1" applyAlignment="1">
      <alignment vertical="center"/>
      <protection/>
    </xf>
    <xf numFmtId="0" fontId="24" fillId="0" borderId="39" xfId="101" applyFont="1" applyFill="1" applyBorder="1" applyAlignment="1">
      <alignment vertical="center"/>
      <protection/>
    </xf>
    <xf numFmtId="3" fontId="6" fillId="0" borderId="0" xfId="101" applyNumberFormat="1" applyFont="1" applyAlignment="1">
      <alignment vertical="center"/>
      <protection/>
    </xf>
    <xf numFmtId="3" fontId="3" fillId="0" borderId="44" xfId="0" applyNumberFormat="1" applyFont="1" applyFill="1" applyBorder="1" applyAlignment="1">
      <alignment vertical="center"/>
    </xf>
    <xf numFmtId="3" fontId="7" fillId="0" borderId="58" xfId="0" applyNumberFormat="1" applyFont="1" applyFill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9" fillId="0" borderId="44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horizontal="right" vertical="center"/>
    </xf>
    <xf numFmtId="3" fontId="7" fillId="0" borderId="59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0" fontId="12" fillId="1" borderId="25" xfId="103" applyFont="1" applyFill="1" applyBorder="1" applyAlignment="1">
      <alignment horizontal="center" vertical="center"/>
      <protection/>
    </xf>
    <xf numFmtId="0" fontId="12" fillId="1" borderId="19" xfId="103" applyFont="1" applyFill="1" applyBorder="1" applyAlignment="1">
      <alignment horizontal="center" vertical="center"/>
      <protection/>
    </xf>
    <xf numFmtId="0" fontId="66" fillId="0" borderId="62" xfId="101" applyFont="1" applyFill="1" applyBorder="1">
      <alignment/>
      <protection/>
    </xf>
    <xf numFmtId="3" fontId="66" fillId="0" borderId="52" xfId="101" applyNumberFormat="1" applyFont="1" applyFill="1" applyBorder="1">
      <alignment/>
      <protection/>
    </xf>
    <xf numFmtId="0" fontId="12" fillId="1" borderId="76" xfId="103" applyFont="1" applyFill="1" applyBorder="1" applyAlignment="1">
      <alignment horizontal="center" vertical="center"/>
      <protection/>
    </xf>
    <xf numFmtId="3" fontId="11" fillId="0" borderId="56" xfId="103" applyNumberFormat="1" applyFont="1" applyBorder="1">
      <alignment/>
      <protection/>
    </xf>
    <xf numFmtId="10" fontId="7" fillId="0" borderId="24" xfId="0" applyNumberFormat="1" applyFont="1" applyBorder="1" applyAlignment="1">
      <alignment vertical="center"/>
    </xf>
    <xf numFmtId="10" fontId="32" fillId="0" borderId="93" xfId="103" applyNumberFormat="1" applyFont="1" applyBorder="1" applyAlignment="1">
      <alignment horizontal="right" vertical="center" wrapText="1"/>
      <protection/>
    </xf>
    <xf numFmtId="3" fontId="3" fillId="0" borderId="51" xfId="0" applyNumberFormat="1" applyFont="1" applyFill="1" applyBorder="1" applyAlignment="1">
      <alignment horizontal="center" vertical="center" wrapText="1"/>
    </xf>
    <xf numFmtId="169" fontId="53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50" xfId="0" applyFont="1" applyFill="1" applyBorder="1" applyAlignment="1">
      <alignment horizontal="centerContinuous" vertical="center" wrapText="1"/>
    </xf>
    <xf numFmtId="3" fontId="32" fillId="0" borderId="64" xfId="103" applyNumberFormat="1" applyFont="1" applyFill="1" applyBorder="1" applyAlignment="1">
      <alignment vertical="center"/>
      <protection/>
    </xf>
    <xf numFmtId="3" fontId="32" fillId="0" borderId="65" xfId="103" applyNumberFormat="1" applyFont="1" applyFill="1" applyBorder="1" applyAlignment="1">
      <alignment horizontal="right" vertical="center" wrapText="1"/>
      <protection/>
    </xf>
    <xf numFmtId="3" fontId="32" fillId="0" borderId="93" xfId="103" applyNumberFormat="1" applyFont="1" applyFill="1" applyBorder="1" applyAlignment="1">
      <alignment horizontal="right" vertical="center" wrapText="1"/>
      <protection/>
    </xf>
    <xf numFmtId="3" fontId="18" fillId="0" borderId="74" xfId="103" applyNumberFormat="1" applyFont="1" applyBorder="1" applyAlignment="1">
      <alignment horizontal="right"/>
      <protection/>
    </xf>
    <xf numFmtId="0" fontId="12" fillId="1" borderId="35" xfId="103" applyFont="1" applyFill="1" applyBorder="1" applyAlignment="1">
      <alignment horizontal="center" vertical="center"/>
      <protection/>
    </xf>
    <xf numFmtId="0" fontId="3" fillId="0" borderId="61" xfId="0" applyFont="1" applyFill="1" applyBorder="1" applyAlignment="1">
      <alignment horizontal="centerContinuous" vertical="center" wrapText="1"/>
    </xf>
    <xf numFmtId="0" fontId="75" fillId="0" borderId="85" xfId="0" applyFont="1" applyBorder="1" applyAlignment="1">
      <alignment vertical="center" wrapText="1"/>
    </xf>
    <xf numFmtId="0" fontId="75" fillId="0" borderId="94" xfId="0" applyFont="1" applyBorder="1" applyAlignment="1">
      <alignment horizontal="center" vertical="center" wrapText="1"/>
    </xf>
    <xf numFmtId="3" fontId="32" fillId="0" borderId="94" xfId="103" applyNumberFormat="1" applyFont="1" applyFill="1" applyBorder="1" applyAlignment="1">
      <alignment vertical="center"/>
      <protection/>
    </xf>
    <xf numFmtId="10" fontId="32" fillId="0" borderId="94" xfId="103" applyNumberFormat="1" applyFont="1" applyBorder="1" applyAlignment="1">
      <alignment horizontal="right" vertical="center" wrapText="1"/>
      <protection/>
    </xf>
    <xf numFmtId="169" fontId="42" fillId="0" borderId="55" xfId="106" applyNumberFormat="1" applyFont="1" applyFill="1" applyBorder="1" applyAlignment="1" applyProtection="1">
      <alignment vertical="center"/>
      <protection/>
    </xf>
    <xf numFmtId="3" fontId="11" fillId="0" borderId="56" xfId="103" applyNumberFormat="1" applyBorder="1" applyAlignment="1">
      <alignment vertical="center"/>
      <protection/>
    </xf>
    <xf numFmtId="0" fontId="1" fillId="0" borderId="36" xfId="101" applyFont="1" applyFill="1" applyBorder="1">
      <alignment/>
      <protection/>
    </xf>
    <xf numFmtId="3" fontId="1" fillId="0" borderId="28" xfId="101" applyNumberFormat="1" applyFont="1" applyFill="1" applyBorder="1">
      <alignment/>
      <protection/>
    </xf>
    <xf numFmtId="0" fontId="1" fillId="0" borderId="36" xfId="101" applyFont="1" applyBorder="1">
      <alignment/>
      <protection/>
    </xf>
    <xf numFmtId="0" fontId="1" fillId="0" borderId="36" xfId="101" applyFont="1" applyBorder="1" applyAlignment="1">
      <alignment wrapText="1"/>
      <protection/>
    </xf>
    <xf numFmtId="3" fontId="1" fillId="0" borderId="0" xfId="101" applyNumberFormat="1" applyFill="1">
      <alignment/>
      <protection/>
    </xf>
    <xf numFmtId="0" fontId="32" fillId="0" borderId="24" xfId="103" applyFont="1" applyFill="1" applyBorder="1" applyAlignment="1">
      <alignment vertical="center" wrapText="1"/>
      <protection/>
    </xf>
    <xf numFmtId="0" fontId="0" fillId="0" borderId="41" xfId="103" applyFont="1" applyFill="1" applyBorder="1" applyAlignment="1">
      <alignment horizontal="left" vertical="center" wrapText="1"/>
      <protection/>
    </xf>
    <xf numFmtId="169" fontId="53" fillId="0" borderId="53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60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47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47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2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4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4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29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left" vertical="center" wrapText="1" indent="1"/>
      <protection/>
    </xf>
    <xf numFmtId="169" fontId="53" fillId="0" borderId="28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8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59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74" xfId="0" applyFont="1" applyFill="1" applyBorder="1" applyAlignment="1" applyProtection="1">
      <alignment horizontal="left" vertical="center" wrapText="1" indent="1"/>
      <protection/>
    </xf>
    <xf numFmtId="169" fontId="53" fillId="0" borderId="23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21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0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72" xfId="0" applyFont="1" applyFill="1" applyBorder="1" applyAlignment="1" applyProtection="1">
      <alignment horizontal="left" vertical="center" wrapText="1" indent="1"/>
      <protection/>
    </xf>
    <xf numFmtId="0" fontId="45" fillId="0" borderId="64" xfId="0" applyFont="1" applyFill="1" applyBorder="1" applyAlignment="1" applyProtection="1">
      <alignment horizontal="left" vertical="center" wrapText="1" indent="1"/>
      <protection/>
    </xf>
    <xf numFmtId="0" fontId="45" fillId="0" borderId="65" xfId="0" applyFont="1" applyFill="1" applyBorder="1" applyAlignment="1" applyProtection="1">
      <alignment horizontal="left" vertical="center" wrapText="1" indent="1"/>
      <protection/>
    </xf>
    <xf numFmtId="169" fontId="45" fillId="0" borderId="22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19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23" xfId="0" applyFont="1" applyFill="1" applyBorder="1" applyAlignment="1" applyProtection="1">
      <alignment horizontal="center" vertical="center" wrapText="1"/>
      <protection/>
    </xf>
    <xf numFmtId="0" fontId="4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103" applyFont="1" applyAlignment="1">
      <alignment horizontal="center"/>
      <protection/>
    </xf>
    <xf numFmtId="3" fontId="0" fillId="0" borderId="67" xfId="0" applyNumberFormat="1" applyFont="1" applyBorder="1" applyAlignment="1">
      <alignment/>
    </xf>
    <xf numFmtId="0" fontId="18" fillId="0" borderId="0" xfId="103" applyFont="1" applyAlignment="1">
      <alignment wrapText="1"/>
      <protection/>
    </xf>
    <xf numFmtId="0" fontId="3" fillId="0" borderId="38" xfId="0" applyFont="1" applyFill="1" applyBorder="1" applyAlignment="1">
      <alignment horizontal="centerContinuous" vertical="center" wrapText="1"/>
    </xf>
    <xf numFmtId="3" fontId="7" fillId="0" borderId="25" xfId="0" applyNumberFormat="1" applyFont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3" fontId="7" fillId="0" borderId="59" xfId="0" applyNumberFormat="1" applyFont="1" applyFill="1" applyBorder="1" applyAlignment="1">
      <alignment vertical="center"/>
    </xf>
    <xf numFmtId="0" fontId="4" fillId="0" borderId="60" xfId="0" applyFont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4" xfId="103" applyNumberFormat="1" applyFont="1" applyFill="1" applyBorder="1" applyAlignment="1">
      <alignment vertical="center"/>
      <protection/>
    </xf>
    <xf numFmtId="10" fontId="7" fillId="0" borderId="47" xfId="0" applyNumberFormat="1" applyFont="1" applyFill="1" applyBorder="1" applyAlignment="1">
      <alignment horizontal="right" vertical="center"/>
    </xf>
    <xf numFmtId="3" fontId="7" fillId="49" borderId="25" xfId="0" applyNumberFormat="1" applyFont="1" applyFill="1" applyBorder="1" applyAlignment="1">
      <alignment horizontal="right" vertical="center" wrapText="1"/>
    </xf>
    <xf numFmtId="10" fontId="3" fillId="0" borderId="44" xfId="0" applyNumberFormat="1" applyFont="1" applyFill="1" applyBorder="1" applyAlignment="1">
      <alignment horizontal="centerContinuous" vertical="center" wrapText="1"/>
    </xf>
    <xf numFmtId="0" fontId="53" fillId="0" borderId="26" xfId="0" applyFont="1" applyFill="1" applyBorder="1" applyAlignment="1" applyProtection="1">
      <alignment horizontal="center" vertical="center" wrapText="1"/>
      <protection/>
    </xf>
    <xf numFmtId="169" fontId="53" fillId="0" borderId="41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41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75" fillId="0" borderId="36" xfId="0" applyFont="1" applyBorder="1" applyAlignment="1">
      <alignment vertical="center" wrapText="1"/>
    </xf>
    <xf numFmtId="0" fontId="75" fillId="0" borderId="28" xfId="0" applyFont="1" applyBorder="1" applyAlignment="1">
      <alignment horizontal="center" vertical="center" wrapText="1"/>
    </xf>
    <xf numFmtId="3" fontId="32" fillId="0" borderId="28" xfId="103" applyNumberFormat="1" applyFont="1" applyFill="1" applyBorder="1" applyAlignment="1">
      <alignment vertical="center"/>
      <protection/>
    </xf>
    <xf numFmtId="10" fontId="32" fillId="0" borderId="28" xfId="103" applyNumberFormat="1" applyFont="1" applyBorder="1" applyAlignment="1">
      <alignment horizontal="right" vertical="center" wrapText="1"/>
      <protection/>
    </xf>
    <xf numFmtId="3" fontId="41" fillId="51" borderId="64" xfId="103" applyNumberFormat="1" applyFont="1" applyFill="1" applyBorder="1" applyAlignment="1">
      <alignment horizontal="right"/>
      <protection/>
    </xf>
    <xf numFmtId="3" fontId="14" fillId="0" borderId="0" xfId="103" applyNumberFormat="1" applyFont="1" applyAlignment="1">
      <alignment horizontal="center"/>
      <protection/>
    </xf>
    <xf numFmtId="3" fontId="41" fillId="51" borderId="65" xfId="103" applyNumberFormat="1" applyFont="1" applyFill="1" applyBorder="1" applyAlignment="1">
      <alignment horizontal="right"/>
      <protection/>
    </xf>
    <xf numFmtId="3" fontId="41" fillId="51" borderId="28" xfId="103" applyNumberFormat="1" applyFont="1" applyFill="1" applyBorder="1" applyAlignment="1">
      <alignment horizontal="right"/>
      <protection/>
    </xf>
    <xf numFmtId="3" fontId="15" fillId="0" borderId="0" xfId="103" applyNumberFormat="1" applyFont="1" applyFill="1">
      <alignment/>
      <protection/>
    </xf>
    <xf numFmtId="3" fontId="41" fillId="0" borderId="65" xfId="103" applyNumberFormat="1" applyFont="1" applyFill="1" applyBorder="1" applyAlignment="1">
      <alignment horizontal="right"/>
      <protection/>
    </xf>
    <xf numFmtId="3" fontId="41" fillId="0" borderId="28" xfId="103" applyNumberFormat="1" applyFont="1" applyFill="1" applyBorder="1" applyAlignment="1">
      <alignment horizontal="right"/>
      <protection/>
    </xf>
    <xf numFmtId="3" fontId="156" fillId="0" borderId="0" xfId="0" applyNumberFormat="1" applyFont="1" applyBorder="1" applyAlignment="1">
      <alignment/>
    </xf>
    <xf numFmtId="0" fontId="157" fillId="0" borderId="0" xfId="0" applyFont="1" applyAlignment="1">
      <alignment/>
    </xf>
    <xf numFmtId="3" fontId="7" fillId="0" borderId="41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10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46" xfId="0" applyNumberFormat="1" applyFont="1" applyFill="1" applyBorder="1" applyAlignment="1" applyProtection="1">
      <alignment horizontal="right" vertical="center"/>
      <protection locked="0"/>
    </xf>
    <xf numFmtId="3" fontId="7" fillId="0" borderId="41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10" fontId="7" fillId="0" borderId="59" xfId="0" applyNumberFormat="1" applyFont="1" applyFill="1" applyBorder="1" applyAlignment="1" applyProtection="1">
      <alignment vertical="center"/>
      <protection locked="0"/>
    </xf>
    <xf numFmtId="3" fontId="158" fillId="0" borderId="0" xfId="103" applyNumberFormat="1" applyFont="1" applyFill="1" applyBorder="1" applyAlignment="1">
      <alignment horizontal="right" vertical="center"/>
      <protection/>
    </xf>
    <xf numFmtId="0" fontId="159" fillId="0" borderId="0" xfId="103" applyFont="1">
      <alignment/>
      <protection/>
    </xf>
    <xf numFmtId="3" fontId="11" fillId="0" borderId="34" xfId="103" applyNumberFormat="1" applyFont="1" applyBorder="1" applyAlignment="1">
      <alignment vertical="center"/>
      <protection/>
    </xf>
    <xf numFmtId="3" fontId="7" fillId="0" borderId="58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Fill="1" applyBorder="1" applyAlignment="1">
      <alignment horizontal="right" vertical="center"/>
    </xf>
    <xf numFmtId="169" fontId="45" fillId="0" borderId="58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6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5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0" xfId="0" applyNumberFormat="1" applyFont="1" applyAlignment="1">
      <alignment vertical="center"/>
    </xf>
    <xf numFmtId="49" fontId="4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2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43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0" fontId="3" fillId="0" borderId="44" xfId="0" applyNumberFormat="1" applyFont="1" applyFill="1" applyBorder="1" applyAlignment="1">
      <alignment horizontal="right" vertical="center" wrapText="1"/>
    </xf>
    <xf numFmtId="49" fontId="0" fillId="0" borderId="78" xfId="0" applyNumberFormat="1" applyFont="1" applyFill="1" applyBorder="1" applyAlignment="1">
      <alignment horizontal="left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46" xfId="0" applyNumberFormat="1" applyFont="1" applyFill="1" applyBorder="1" applyAlignment="1">
      <alignment horizontal="right" vertical="center" wrapText="1"/>
    </xf>
    <xf numFmtId="10" fontId="7" fillId="0" borderId="47" xfId="0" applyNumberFormat="1" applyFont="1" applyFill="1" applyBorder="1" applyAlignment="1">
      <alignment horizontal="right" vertical="center" wrapText="1"/>
    </xf>
    <xf numFmtId="49" fontId="0" fillId="0" borderId="32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left" wrapText="1"/>
    </xf>
    <xf numFmtId="49" fontId="0" fillId="0" borderId="40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4" xfId="0" applyNumberFormat="1" applyFont="1" applyFill="1" applyBorder="1" applyAlignment="1">
      <alignment horizontal="left"/>
    </xf>
    <xf numFmtId="3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6" xfId="0" applyNumberFormat="1" applyFont="1" applyFill="1" applyBorder="1" applyAlignment="1">
      <alignment horizontal="left"/>
    </xf>
    <xf numFmtId="49" fontId="3" fillId="0" borderId="31" xfId="0" applyNumberFormat="1" applyFont="1" applyFill="1" applyBorder="1" applyAlignment="1">
      <alignment horizontal="left" vertical="center"/>
    </xf>
    <xf numFmtId="49" fontId="7" fillId="0" borderId="35" xfId="0" applyNumberFormat="1" applyFont="1" applyFill="1" applyBorder="1" applyAlignment="1">
      <alignment horizontal="left" vertical="center"/>
    </xf>
    <xf numFmtId="49" fontId="7" fillId="0" borderId="33" xfId="0" applyNumberFormat="1" applyFont="1" applyFill="1" applyBorder="1" applyAlignment="1">
      <alignment horizontal="left" vertical="center"/>
    </xf>
    <xf numFmtId="49" fontId="0" fillId="0" borderId="56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4" xfId="0" applyFont="1" applyFill="1" applyBorder="1" applyAlignment="1">
      <alignment/>
    </xf>
    <xf numFmtId="3" fontId="2" fillId="0" borderId="43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10" fontId="2" fillId="0" borderId="44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10" fontId="4" fillId="0" borderId="44" xfId="0" applyNumberFormat="1" applyFont="1" applyFill="1" applyBorder="1" applyAlignment="1">
      <alignment vertical="center"/>
    </xf>
    <xf numFmtId="49" fontId="3" fillId="0" borderId="67" xfId="0" applyNumberFormat="1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57" fillId="0" borderId="0" xfId="0" applyFont="1" applyFill="1" applyAlignment="1">
      <alignment/>
    </xf>
    <xf numFmtId="3" fontId="156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3" fontId="15" fillId="0" borderId="20" xfId="103" applyNumberFormat="1" applyFont="1" applyFill="1" applyBorder="1" applyAlignment="1">
      <alignment vertical="center"/>
      <protection/>
    </xf>
    <xf numFmtId="0" fontId="66" fillId="0" borderId="36" xfId="101" applyFont="1" applyBorder="1" applyAlignment="1">
      <alignment wrapText="1"/>
      <protection/>
    </xf>
    <xf numFmtId="3" fontId="15" fillId="0" borderId="28" xfId="103" applyNumberFormat="1" applyFont="1" applyFill="1" applyBorder="1" applyAlignment="1">
      <alignment horizontal="right" vertical="center"/>
      <protection/>
    </xf>
    <xf numFmtId="0" fontId="14" fillId="0" borderId="30" xfId="0" applyFont="1" applyFill="1" applyBorder="1" applyAlignment="1">
      <alignment vertical="center" wrapText="1"/>
    </xf>
    <xf numFmtId="0" fontId="53" fillId="0" borderId="50" xfId="0" applyFont="1" applyFill="1" applyBorder="1" applyAlignment="1" applyProtection="1">
      <alignment horizontal="center" vertical="center" wrapText="1"/>
      <protection/>
    </xf>
    <xf numFmtId="3" fontId="66" fillId="0" borderId="0" xfId="101" applyNumberFormat="1" applyFont="1" applyFill="1">
      <alignment/>
      <protection/>
    </xf>
    <xf numFmtId="3" fontId="1" fillId="0" borderId="0" xfId="101" applyNumberFormat="1" applyFill="1" applyAlignment="1" applyProtection="1">
      <alignment vertical="center"/>
      <protection/>
    </xf>
    <xf numFmtId="3" fontId="1" fillId="0" borderId="0" xfId="101" applyNumberFormat="1" applyFill="1" applyAlignment="1">
      <alignment vertical="center"/>
      <protection/>
    </xf>
    <xf numFmtId="3" fontId="71" fillId="0" borderId="0" xfId="103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103" applyFont="1" applyFill="1" applyBorder="1" applyAlignment="1">
      <alignment horizontal="center" vertical="center"/>
      <protection/>
    </xf>
    <xf numFmtId="0" fontId="11" fillId="0" borderId="0" xfId="103" applyFont="1" applyFill="1" applyAlignment="1">
      <alignment vertical="center"/>
      <protection/>
    </xf>
    <xf numFmtId="0" fontId="11" fillId="0" borderId="55" xfId="103" applyFont="1" applyFill="1" applyBorder="1" applyAlignment="1">
      <alignment vertical="center"/>
      <protection/>
    </xf>
    <xf numFmtId="3" fontId="12" fillId="0" borderId="0" xfId="103" applyNumberFormat="1" applyFont="1" applyFill="1" applyBorder="1" applyAlignment="1">
      <alignment horizontal="center" vertical="center"/>
      <protection/>
    </xf>
    <xf numFmtId="0" fontId="16" fillId="0" borderId="43" xfId="103" applyFont="1" applyFill="1" applyBorder="1" applyAlignment="1">
      <alignment horizontal="center" vertical="center"/>
      <protection/>
    </xf>
    <xf numFmtId="0" fontId="16" fillId="0" borderId="27" xfId="103" applyFont="1" applyFill="1" applyBorder="1" applyAlignment="1">
      <alignment horizontal="center" vertical="center"/>
      <protection/>
    </xf>
    <xf numFmtId="0" fontId="16" fillId="0" borderId="61" xfId="103" applyFont="1" applyFill="1" applyBorder="1" applyAlignment="1">
      <alignment horizontal="center" vertical="center"/>
      <protection/>
    </xf>
    <xf numFmtId="0" fontId="13" fillId="0" borderId="0" xfId="103" applyFont="1" applyFill="1" applyAlignment="1">
      <alignment vertical="center"/>
      <protection/>
    </xf>
    <xf numFmtId="0" fontId="16" fillId="0" borderId="45" xfId="103" applyFont="1" applyFill="1" applyBorder="1" applyAlignment="1">
      <alignment horizontal="center" vertical="center"/>
      <protection/>
    </xf>
    <xf numFmtId="0" fontId="16" fillId="0" borderId="93" xfId="103" applyFont="1" applyFill="1" applyBorder="1" applyAlignment="1">
      <alignment horizontal="center" vertical="center"/>
      <protection/>
    </xf>
    <xf numFmtId="3" fontId="16" fillId="0" borderId="49" xfId="103" applyNumberFormat="1" applyFont="1" applyFill="1" applyBorder="1" applyAlignment="1">
      <alignment horizontal="center" vertical="center"/>
      <protection/>
    </xf>
    <xf numFmtId="3" fontId="16" fillId="0" borderId="42" xfId="103" applyNumberFormat="1" applyFont="1" applyFill="1" applyBorder="1" applyAlignment="1">
      <alignment horizontal="center" vertical="center" wrapText="1"/>
      <protection/>
    </xf>
    <xf numFmtId="3" fontId="16" fillId="0" borderId="42" xfId="103" applyNumberFormat="1" applyFont="1" applyFill="1" applyBorder="1" applyAlignment="1">
      <alignment horizontal="center" vertical="center"/>
      <protection/>
    </xf>
    <xf numFmtId="3" fontId="16" fillId="0" borderId="57" xfId="103" applyNumberFormat="1" applyFont="1" applyFill="1" applyBorder="1" applyAlignment="1">
      <alignment horizontal="center" vertical="center"/>
      <protection/>
    </xf>
    <xf numFmtId="0" fontId="11" fillId="0" borderId="19" xfId="103" applyFont="1" applyFill="1" applyBorder="1" applyAlignment="1">
      <alignment horizontal="center" vertical="center"/>
      <protection/>
    </xf>
    <xf numFmtId="0" fontId="14" fillId="0" borderId="64" xfId="103" applyFont="1" applyFill="1" applyBorder="1" applyAlignment="1">
      <alignment horizontal="center" vertical="center"/>
      <protection/>
    </xf>
    <xf numFmtId="0" fontId="16" fillId="0" borderId="0" xfId="103" applyFont="1" applyFill="1" applyBorder="1" applyAlignment="1">
      <alignment horizontal="center" vertical="center"/>
      <protection/>
    </xf>
    <xf numFmtId="3" fontId="11" fillId="0" borderId="0" xfId="103" applyNumberFormat="1" applyFont="1" applyFill="1" applyAlignment="1">
      <alignment vertical="center"/>
      <protection/>
    </xf>
    <xf numFmtId="0" fontId="160" fillId="0" borderId="0" xfId="103" applyFont="1" applyFill="1" applyAlignment="1">
      <alignment vertical="center"/>
      <protection/>
    </xf>
    <xf numFmtId="0" fontId="11" fillId="0" borderId="0" xfId="103" applyFont="1" applyFill="1" applyAlignment="1">
      <alignment horizontal="center" vertical="center"/>
      <protection/>
    </xf>
    <xf numFmtId="0" fontId="16" fillId="0" borderId="49" xfId="103" applyFont="1" applyFill="1" applyBorder="1" applyAlignment="1">
      <alignment horizontal="center" vertical="center"/>
      <protection/>
    </xf>
    <xf numFmtId="0" fontId="16" fillId="0" borderId="42" xfId="103" applyFont="1" applyFill="1" applyBorder="1" applyAlignment="1">
      <alignment horizontal="center" vertical="center"/>
      <protection/>
    </xf>
    <xf numFmtId="0" fontId="16" fillId="0" borderId="67" xfId="103" applyFont="1" applyFill="1" applyBorder="1" applyAlignment="1">
      <alignment horizontal="center" vertical="center"/>
      <protection/>
    </xf>
    <xf numFmtId="0" fontId="11" fillId="0" borderId="22" xfId="103" applyFont="1" applyFill="1" applyBorder="1" applyAlignment="1">
      <alignment horizontal="center" vertical="center"/>
      <protection/>
    </xf>
    <xf numFmtId="3" fontId="15" fillId="0" borderId="46" xfId="103" applyNumberFormat="1" applyFont="1" applyFill="1" applyBorder="1" applyAlignment="1">
      <alignment vertical="center"/>
      <protection/>
    </xf>
    <xf numFmtId="0" fontId="11" fillId="0" borderId="26" xfId="103" applyFont="1" applyFill="1" applyBorder="1" applyAlignment="1">
      <alignment horizontal="center" vertical="center"/>
      <protection/>
    </xf>
    <xf numFmtId="0" fontId="15" fillId="0" borderId="19" xfId="103" applyFont="1" applyFill="1" applyBorder="1" applyAlignment="1">
      <alignment horizontal="left" wrapText="1"/>
      <protection/>
    </xf>
    <xf numFmtId="0" fontId="11" fillId="0" borderId="29" xfId="103" applyFont="1" applyBorder="1" applyAlignment="1">
      <alignment horizontal="center" vertical="center"/>
      <protection/>
    </xf>
    <xf numFmtId="3" fontId="76" fillId="0" borderId="29" xfId="105" applyNumberFormat="1" applyFont="1" applyFill="1" applyBorder="1">
      <alignment/>
      <protection/>
    </xf>
    <xf numFmtId="3" fontId="76" fillId="0" borderId="28" xfId="105" applyNumberFormat="1" applyFont="1" applyFill="1" applyBorder="1">
      <alignment/>
      <protection/>
    </xf>
    <xf numFmtId="10" fontId="76" fillId="0" borderId="59" xfId="105" applyNumberFormat="1" applyFont="1" applyFill="1" applyBorder="1" applyAlignment="1">
      <alignment vertical="top"/>
      <protection/>
    </xf>
    <xf numFmtId="3" fontId="76" fillId="0" borderId="59" xfId="105" applyNumberFormat="1" applyFont="1" applyFill="1" applyBorder="1">
      <alignment/>
      <protection/>
    </xf>
    <xf numFmtId="0" fontId="11" fillId="0" borderId="0" xfId="103" applyFont="1" applyFill="1" applyAlignment="1">
      <alignment wrapText="1"/>
      <protection/>
    </xf>
    <xf numFmtId="0" fontId="41" fillId="0" borderId="0" xfId="103" applyFont="1" applyFill="1">
      <alignment/>
      <protection/>
    </xf>
    <xf numFmtId="3" fontId="41" fillId="0" borderId="0" xfId="103" applyNumberFormat="1" applyFont="1" applyFill="1">
      <alignment/>
      <protection/>
    </xf>
    <xf numFmtId="0" fontId="18" fillId="0" borderId="0" xfId="103" applyFont="1" applyFill="1" applyAlignment="1">
      <alignment wrapText="1"/>
      <protection/>
    </xf>
    <xf numFmtId="3" fontId="11" fillId="0" borderId="0" xfId="103" applyNumberFormat="1" applyFont="1" applyFill="1">
      <alignment/>
      <protection/>
    </xf>
    <xf numFmtId="3" fontId="15" fillId="0" borderId="0" xfId="103" applyNumberFormat="1" applyFont="1" applyFill="1">
      <alignment/>
      <protection/>
    </xf>
    <xf numFmtId="0" fontId="12" fillId="0" borderId="26" xfId="103" applyFont="1" applyFill="1" applyBorder="1" applyAlignment="1">
      <alignment horizontal="center" vertical="center" wrapText="1"/>
      <protection/>
    </xf>
    <xf numFmtId="0" fontId="12" fillId="0" borderId="19" xfId="103" applyFont="1" applyFill="1" applyBorder="1" applyAlignment="1">
      <alignment horizontal="center" vertical="center"/>
      <protection/>
    </xf>
    <xf numFmtId="0" fontId="12" fillId="0" borderId="25" xfId="103" applyFont="1" applyFill="1" applyBorder="1" applyAlignment="1">
      <alignment horizontal="center" vertical="center"/>
      <protection/>
    </xf>
    <xf numFmtId="0" fontId="12" fillId="0" borderId="41" xfId="103" applyFont="1" applyFill="1" applyBorder="1" applyAlignment="1">
      <alignment horizontal="center" vertical="center"/>
      <protection/>
    </xf>
    <xf numFmtId="0" fontId="12" fillId="0" borderId="41" xfId="103" applyFont="1" applyFill="1" applyBorder="1" applyAlignment="1">
      <alignment horizontal="center" vertical="center" wrapText="1"/>
      <protection/>
    </xf>
    <xf numFmtId="0" fontId="12" fillId="0" borderId="76" xfId="103" applyFont="1" applyFill="1" applyBorder="1" applyAlignment="1">
      <alignment horizontal="center" vertical="center" wrapText="1"/>
      <protection/>
    </xf>
    <xf numFmtId="0" fontId="12" fillId="0" borderId="76" xfId="103" applyFont="1" applyFill="1" applyBorder="1" applyAlignment="1">
      <alignment horizontal="center" vertical="center"/>
      <protection/>
    </xf>
    <xf numFmtId="0" fontId="12" fillId="0" borderId="35" xfId="103" applyFont="1" applyFill="1" applyBorder="1" applyAlignment="1">
      <alignment horizontal="center" vertical="center"/>
      <protection/>
    </xf>
    <xf numFmtId="0" fontId="12" fillId="0" borderId="23" xfId="103" applyFont="1" applyFill="1" applyBorder="1" applyAlignment="1">
      <alignment wrapText="1"/>
      <protection/>
    </xf>
    <xf numFmtId="3" fontId="18" fillId="0" borderId="20" xfId="103" applyNumberFormat="1" applyFont="1" applyFill="1" applyBorder="1" applyAlignment="1">
      <alignment horizontal="right"/>
      <protection/>
    </xf>
    <xf numFmtId="3" fontId="18" fillId="0" borderId="92" xfId="103" applyNumberFormat="1" applyFont="1" applyFill="1" applyBorder="1" applyAlignment="1">
      <alignment horizontal="right"/>
      <protection/>
    </xf>
    <xf numFmtId="3" fontId="18" fillId="0" borderId="91" xfId="103" applyNumberFormat="1" applyFont="1" applyFill="1" applyBorder="1" applyAlignment="1">
      <alignment horizontal="right"/>
      <protection/>
    </xf>
    <xf numFmtId="3" fontId="18" fillId="0" borderId="21" xfId="103" applyNumberFormat="1" applyFont="1" applyFill="1" applyBorder="1" applyAlignment="1">
      <alignment horizontal="right"/>
      <protection/>
    </xf>
    <xf numFmtId="3" fontId="66" fillId="0" borderId="0" xfId="101" applyNumberFormat="1" applyFont="1" applyFill="1" applyAlignment="1">
      <alignment vertical="center"/>
      <protection/>
    </xf>
    <xf numFmtId="3" fontId="16" fillId="0" borderId="38" xfId="103" applyNumberFormat="1" applyFont="1" applyFill="1" applyBorder="1" applyAlignment="1">
      <alignment horizontal="center" vertical="center"/>
      <protection/>
    </xf>
    <xf numFmtId="3" fontId="16" fillId="0" borderId="67" xfId="103" applyNumberFormat="1" applyFont="1" applyFill="1" applyBorder="1" applyAlignment="1">
      <alignment horizontal="center" vertical="center"/>
      <protection/>
    </xf>
    <xf numFmtId="0" fontId="12" fillId="0" borderId="23" xfId="103" applyFont="1" applyFill="1" applyBorder="1" applyAlignment="1">
      <alignment vertical="center" wrapText="1"/>
      <protection/>
    </xf>
    <xf numFmtId="3" fontId="18" fillId="0" borderId="20" xfId="68" applyNumberFormat="1" applyFont="1" applyFill="1" applyBorder="1" applyAlignment="1">
      <alignment horizontal="right" vertical="center"/>
    </xf>
    <xf numFmtId="10" fontId="18" fillId="0" borderId="21" xfId="103" applyNumberFormat="1" applyFont="1" applyFill="1" applyBorder="1" applyAlignment="1">
      <alignment horizontal="right"/>
      <protection/>
    </xf>
    <xf numFmtId="3" fontId="18" fillId="0" borderId="91" xfId="68" applyNumberFormat="1" applyFont="1" applyFill="1" applyBorder="1" applyAlignment="1">
      <alignment horizontal="right" vertical="center"/>
    </xf>
    <xf numFmtId="0" fontId="15" fillId="0" borderId="0" xfId="103" applyFont="1" applyFill="1" applyAlignment="1">
      <alignment wrapText="1"/>
      <protection/>
    </xf>
    <xf numFmtId="0" fontId="15" fillId="0" borderId="0" xfId="103" applyFont="1" applyFill="1">
      <alignment/>
      <protection/>
    </xf>
    <xf numFmtId="169" fontId="53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103" applyFont="1" applyFill="1" applyAlignment="1">
      <alignment horizontal="left" wrapText="1"/>
      <protection/>
    </xf>
    <xf numFmtId="0" fontId="18" fillId="0" borderId="0" xfId="103" applyFont="1" applyFill="1" applyBorder="1" applyAlignment="1">
      <alignment horizontal="center"/>
      <protection/>
    </xf>
    <xf numFmtId="0" fontId="18" fillId="0" borderId="0" xfId="103" applyFont="1" applyFill="1" applyBorder="1" applyAlignment="1">
      <alignment horizontal="center" wrapText="1"/>
      <protection/>
    </xf>
    <xf numFmtId="0" fontId="12" fillId="0" borderId="0" xfId="103" applyFont="1" applyFill="1" applyBorder="1" applyAlignment="1">
      <alignment horizontal="center"/>
      <protection/>
    </xf>
    <xf numFmtId="0" fontId="11" fillId="0" borderId="55" xfId="103" applyFont="1" applyFill="1" applyBorder="1">
      <alignment/>
      <protection/>
    </xf>
    <xf numFmtId="0" fontId="11" fillId="0" borderId="0" xfId="103" applyFont="1" applyFill="1" applyBorder="1" applyAlignment="1">
      <alignment horizontal="left" wrapText="1"/>
      <protection/>
    </xf>
    <xf numFmtId="0" fontId="6" fillId="0" borderId="27" xfId="103" applyFont="1" applyFill="1" applyBorder="1" applyAlignment="1">
      <alignment horizontal="center" vertical="center" wrapText="1"/>
      <protection/>
    </xf>
    <xf numFmtId="178" fontId="0" fillId="0" borderId="0" xfId="0" applyNumberFormat="1" applyFont="1" applyFill="1" applyAlignment="1">
      <alignment/>
    </xf>
    <xf numFmtId="0" fontId="6" fillId="0" borderId="27" xfId="103" applyFont="1" applyFill="1" applyBorder="1" applyAlignment="1">
      <alignment vertical="center" wrapText="1"/>
      <protection/>
    </xf>
    <xf numFmtId="3" fontId="13" fillId="0" borderId="0" xfId="103" applyNumberFormat="1" applyFont="1" applyFill="1" applyAlignment="1">
      <alignment vertical="center"/>
      <protection/>
    </xf>
    <xf numFmtId="0" fontId="13" fillId="0" borderId="0" xfId="103" applyFont="1" applyFill="1" applyAlignment="1">
      <alignment vertical="center"/>
      <protection/>
    </xf>
    <xf numFmtId="0" fontId="0" fillId="0" borderId="23" xfId="103" applyFont="1" applyFill="1" applyBorder="1" applyAlignment="1">
      <alignment horizontal="center" vertical="center"/>
      <protection/>
    </xf>
    <xf numFmtId="0" fontId="16" fillId="0" borderId="46" xfId="103" applyFont="1" applyFill="1" applyBorder="1" applyAlignment="1">
      <alignment horizontal="center" vertical="center"/>
      <protection/>
    </xf>
    <xf numFmtId="0" fontId="19" fillId="0" borderId="24" xfId="0" applyFont="1" applyFill="1" applyBorder="1" applyAlignment="1">
      <alignment/>
    </xf>
    <xf numFmtId="0" fontId="32" fillId="0" borderId="24" xfId="103" applyFont="1" applyBorder="1" applyAlignment="1">
      <alignment vertical="center" wrapText="1"/>
      <protection/>
    </xf>
    <xf numFmtId="0" fontId="32" fillId="0" borderId="30" xfId="103" applyFont="1" applyBorder="1" applyAlignment="1">
      <alignment vertical="center" wrapText="1"/>
      <protection/>
    </xf>
    <xf numFmtId="3" fontId="15" fillId="0" borderId="19" xfId="103" applyNumberFormat="1" applyFont="1" applyBorder="1" applyAlignment="1">
      <alignment horizontal="right" vertical="center"/>
      <protection/>
    </xf>
    <xf numFmtId="3" fontId="15" fillId="0" borderId="19" xfId="0" applyNumberFormat="1" applyFont="1" applyBorder="1" applyAlignment="1">
      <alignment vertical="center"/>
    </xf>
    <xf numFmtId="169" fontId="59" fillId="0" borderId="0" xfId="97" applyNumberFormat="1" applyAlignment="1">
      <alignment vertical="center" wrapText="1"/>
      <protection/>
    </xf>
    <xf numFmtId="169" fontId="59" fillId="0" borderId="0" xfId="97" applyNumberFormat="1" applyAlignment="1">
      <alignment horizontal="center" vertical="center" wrapText="1"/>
      <protection/>
    </xf>
    <xf numFmtId="169" fontId="31" fillId="0" borderId="0" xfId="97" applyNumberFormat="1" applyFont="1" applyAlignment="1">
      <alignment horizontal="right"/>
      <protection/>
    </xf>
    <xf numFmtId="169" fontId="27" fillId="0" borderId="0" xfId="97" applyNumberFormat="1" applyFont="1" applyAlignment="1">
      <alignment vertical="center"/>
      <protection/>
    </xf>
    <xf numFmtId="169" fontId="49" fillId="0" borderId="74" xfId="97" applyNumberFormat="1" applyFont="1" applyBorder="1" applyAlignment="1">
      <alignment horizontal="center" vertical="center"/>
      <protection/>
    </xf>
    <xf numFmtId="169" fontId="49" fillId="0" borderId="21" xfId="97" applyNumberFormat="1" applyFont="1" applyBorder="1" applyAlignment="1">
      <alignment horizontal="center" vertical="center" wrapText="1"/>
      <protection/>
    </xf>
    <xf numFmtId="169" fontId="27" fillId="0" borderId="0" xfId="97" applyNumberFormat="1" applyFont="1" applyAlignment="1">
      <alignment horizontal="center" vertical="center"/>
      <protection/>
    </xf>
    <xf numFmtId="169" fontId="53" fillId="0" borderId="31" xfId="97" applyNumberFormat="1" applyFont="1" applyBorder="1" applyAlignment="1">
      <alignment horizontal="center" vertical="center" wrapText="1"/>
      <protection/>
    </xf>
    <xf numFmtId="169" fontId="53" fillId="0" borderId="75" xfId="97" applyNumberFormat="1" applyFont="1" applyBorder="1" applyAlignment="1">
      <alignment horizontal="center" vertical="center" wrapText="1"/>
      <protection/>
    </xf>
    <xf numFmtId="169" fontId="53" fillId="0" borderId="61" xfId="97" applyNumberFormat="1" applyFont="1" applyBorder="1" applyAlignment="1">
      <alignment horizontal="center" vertical="center" wrapText="1"/>
      <protection/>
    </xf>
    <xf numFmtId="169" fontId="53" fillId="0" borderId="44" xfId="97" applyNumberFormat="1" applyFont="1" applyBorder="1" applyAlignment="1">
      <alignment horizontal="center" vertical="center" wrapText="1"/>
      <protection/>
    </xf>
    <xf numFmtId="169" fontId="53" fillId="0" borderId="77" xfId="97" applyNumberFormat="1" applyFont="1" applyBorder="1" applyAlignment="1">
      <alignment horizontal="center" vertical="center" wrapText="1"/>
      <protection/>
    </xf>
    <xf numFmtId="169" fontId="27" fillId="0" borderId="0" xfId="97" applyNumberFormat="1" applyFont="1" applyAlignment="1">
      <alignment horizontal="center" vertical="center" wrapText="1"/>
      <protection/>
    </xf>
    <xf numFmtId="169" fontId="53" fillId="0" borderId="75" xfId="97" applyNumberFormat="1" applyFont="1" applyBorder="1" applyAlignment="1">
      <alignment horizontal="left" vertical="center" wrapText="1" indent="1"/>
      <protection/>
    </xf>
    <xf numFmtId="49" fontId="110" fillId="0" borderId="27" xfId="97" applyNumberFormat="1" applyFont="1" applyBorder="1" applyAlignment="1" applyProtection="1">
      <alignment horizontal="center" vertical="center" wrapText="1"/>
      <protection locked="0"/>
    </xf>
    <xf numFmtId="169" fontId="110" fillId="0" borderId="75" xfId="97" applyNumberFormat="1" applyFont="1" applyBorder="1" applyAlignment="1">
      <alignment vertical="center" wrapText="1"/>
      <protection/>
    </xf>
    <xf numFmtId="169" fontId="110" fillId="0" borderId="43" xfId="97" applyNumberFormat="1" applyFont="1" applyBorder="1" applyAlignment="1">
      <alignment vertical="center" wrapText="1"/>
      <protection/>
    </xf>
    <xf numFmtId="169" fontId="110" fillId="0" borderId="27" xfId="97" applyNumberFormat="1" applyFont="1" applyBorder="1" applyAlignment="1">
      <alignment vertical="center" wrapText="1"/>
      <protection/>
    </xf>
    <xf numFmtId="169" fontId="110" fillId="0" borderId="44" xfId="97" applyNumberFormat="1" applyFont="1" applyBorder="1" applyAlignment="1">
      <alignment vertical="center" wrapText="1"/>
      <protection/>
    </xf>
    <xf numFmtId="169" fontId="45" fillId="0" borderId="75" xfId="97" applyNumberFormat="1" applyFont="1" applyBorder="1" applyAlignment="1">
      <alignment vertical="center" wrapText="1"/>
      <protection/>
    </xf>
    <xf numFmtId="169" fontId="45" fillId="0" borderId="76" xfId="97" applyNumberFormat="1" applyFont="1" applyBorder="1" applyAlignment="1" applyProtection="1">
      <alignment horizontal="left" vertical="center" wrapText="1" indent="1"/>
      <protection locked="0"/>
    </xf>
    <xf numFmtId="49" fontId="110" fillId="0" borderId="24" xfId="97" applyNumberFormat="1" applyFont="1" applyBorder="1" applyAlignment="1" applyProtection="1">
      <alignment horizontal="center" vertical="center" wrapText="1"/>
      <protection locked="0"/>
    </xf>
    <xf numFmtId="169" fontId="110" fillId="0" borderId="76" xfId="97" applyNumberFormat="1" applyFont="1" applyBorder="1" applyAlignment="1" applyProtection="1">
      <alignment vertical="center" wrapText="1"/>
      <protection locked="0"/>
    </xf>
    <xf numFmtId="169" fontId="110" fillId="0" borderId="19" xfId="97" applyNumberFormat="1" applyFont="1" applyBorder="1" applyAlignment="1" applyProtection="1">
      <alignment vertical="center" wrapText="1"/>
      <protection locked="0"/>
    </xf>
    <xf numFmtId="169" fontId="110" fillId="0" borderId="24" xfId="97" applyNumberFormat="1" applyFont="1" applyBorder="1" applyAlignment="1" applyProtection="1">
      <alignment vertical="center" wrapText="1"/>
      <protection locked="0"/>
    </xf>
    <xf numFmtId="169" fontId="110" fillId="0" borderId="25" xfId="97" applyNumberFormat="1" applyFont="1" applyBorder="1" applyAlignment="1" applyProtection="1">
      <alignment vertical="center" wrapText="1"/>
      <protection locked="0"/>
    </xf>
    <xf numFmtId="169" fontId="45" fillId="0" borderId="76" xfId="97" applyNumberFormat="1" applyFont="1" applyBorder="1" applyAlignment="1">
      <alignment vertical="center" wrapText="1"/>
      <protection/>
    </xf>
    <xf numFmtId="169" fontId="45" fillId="0" borderId="96" xfId="97" applyNumberFormat="1" applyFont="1" applyBorder="1" applyAlignment="1">
      <alignment horizontal="left" vertical="center" wrapText="1" indent="1"/>
      <protection/>
    </xf>
    <xf numFmtId="49" fontId="110" fillId="0" borderId="22" xfId="97" applyNumberFormat="1" applyFont="1" applyBorder="1" applyAlignment="1" applyProtection="1">
      <alignment horizontal="center" vertical="center" wrapText="1"/>
      <protection locked="0"/>
    </xf>
    <xf numFmtId="169" fontId="110" fillId="0" borderId="96" xfId="97" applyNumberFormat="1" applyFont="1" applyBorder="1" applyAlignment="1">
      <alignment vertical="center" wrapText="1"/>
      <protection/>
    </xf>
    <xf numFmtId="169" fontId="110" fillId="0" borderId="46" xfId="97" applyNumberFormat="1" applyFont="1" applyBorder="1" applyAlignment="1">
      <alignment vertical="center" wrapText="1"/>
      <protection/>
    </xf>
    <xf numFmtId="169" fontId="110" fillId="0" borderId="47" xfId="97" applyNumberFormat="1" applyFont="1" applyBorder="1" applyAlignment="1">
      <alignment vertical="center" wrapText="1"/>
      <protection/>
    </xf>
    <xf numFmtId="169" fontId="45" fillId="0" borderId="96" xfId="97" applyNumberFormat="1" applyFont="1" applyBorder="1" applyAlignment="1">
      <alignment vertical="center" wrapText="1"/>
      <protection/>
    </xf>
    <xf numFmtId="169" fontId="45" fillId="0" borderId="76" xfId="97" applyNumberFormat="1" applyFont="1" applyBorder="1" applyAlignment="1">
      <alignment horizontal="left" vertical="center" wrapText="1" indent="1"/>
      <protection/>
    </xf>
    <xf numFmtId="49" fontId="110" fillId="0" borderId="19" xfId="97" applyNumberFormat="1" applyFont="1" applyBorder="1" applyAlignment="1" applyProtection="1">
      <alignment horizontal="center" vertical="center" wrapText="1"/>
      <protection locked="0"/>
    </xf>
    <xf numFmtId="169" fontId="110" fillId="0" borderId="76" xfId="97" applyNumberFormat="1" applyFont="1" applyBorder="1" applyAlignment="1">
      <alignment vertical="center" wrapText="1"/>
      <protection/>
    </xf>
    <xf numFmtId="169" fontId="110" fillId="0" borderId="19" xfId="97" applyNumberFormat="1" applyFont="1" applyBorder="1" applyAlignment="1">
      <alignment vertical="center" wrapText="1"/>
      <protection/>
    </xf>
    <xf numFmtId="169" fontId="110" fillId="0" borderId="24" xfId="97" applyNumberFormat="1" applyFont="1" applyBorder="1" applyAlignment="1">
      <alignment vertical="center" wrapText="1"/>
      <protection/>
    </xf>
    <xf numFmtId="169" fontId="110" fillId="0" borderId="25" xfId="97" applyNumberFormat="1" applyFont="1" applyBorder="1" applyAlignment="1">
      <alignment vertical="center" wrapText="1"/>
      <protection/>
    </xf>
    <xf numFmtId="169" fontId="110" fillId="0" borderId="20" xfId="97" applyNumberFormat="1" applyFont="1" applyBorder="1" applyAlignment="1">
      <alignment vertical="center" wrapText="1"/>
      <protection/>
    </xf>
    <xf numFmtId="169" fontId="110" fillId="0" borderId="21" xfId="97" applyNumberFormat="1" applyFont="1" applyBorder="1" applyAlignment="1">
      <alignment vertical="center" wrapText="1"/>
      <protection/>
    </xf>
    <xf numFmtId="169" fontId="110" fillId="0" borderId="22" xfId="97" applyNumberFormat="1" applyFont="1" applyBorder="1" applyAlignment="1" applyProtection="1">
      <alignment vertical="center" wrapText="1"/>
      <protection locked="0"/>
    </xf>
    <xf numFmtId="169" fontId="110" fillId="0" borderId="46" xfId="97" applyNumberFormat="1" applyFont="1" applyBorder="1" applyAlignment="1" applyProtection="1">
      <alignment vertical="center" wrapText="1"/>
      <protection locked="0"/>
    </xf>
    <xf numFmtId="169" fontId="110" fillId="0" borderId="47" xfId="97" applyNumberFormat="1" applyFont="1" applyBorder="1" applyAlignment="1" applyProtection="1">
      <alignment vertical="center" wrapText="1"/>
      <protection locked="0"/>
    </xf>
    <xf numFmtId="169" fontId="45" fillId="0" borderId="96" xfId="97" applyNumberFormat="1" applyFont="1" applyBorder="1" applyAlignment="1" applyProtection="1">
      <alignment horizontal="left" vertical="center" wrapText="1" indent="1"/>
      <protection locked="0"/>
    </xf>
    <xf numFmtId="169" fontId="110" fillId="0" borderId="96" xfId="97" applyNumberFormat="1" applyFont="1" applyBorder="1" applyAlignment="1" applyProtection="1">
      <alignment vertical="center" wrapText="1"/>
      <protection locked="0"/>
    </xf>
    <xf numFmtId="169" fontId="110" fillId="0" borderId="22" xfId="97" applyNumberFormat="1" applyFont="1" applyBorder="1" applyAlignment="1">
      <alignment vertical="center" wrapText="1"/>
      <protection/>
    </xf>
    <xf numFmtId="169" fontId="110" fillId="52" borderId="61" xfId="97" applyNumberFormat="1" applyFont="1" applyFill="1" applyBorder="1" applyAlignment="1">
      <alignment horizontal="left" vertical="center" wrapText="1" indent="2"/>
      <protection/>
    </xf>
    <xf numFmtId="0" fontId="0" fillId="0" borderId="0" xfId="95" applyFill="1" applyAlignment="1">
      <alignment wrapText="1"/>
      <protection/>
    </xf>
    <xf numFmtId="3" fontId="0" fillId="0" borderId="0" xfId="95" applyNumberFormat="1" applyFill="1">
      <alignment/>
      <protection/>
    </xf>
    <xf numFmtId="0" fontId="9" fillId="0" borderId="0" xfId="95" applyFont="1" applyFill="1" applyAlignment="1">
      <alignment horizontal="right"/>
      <protection/>
    </xf>
    <xf numFmtId="0" fontId="0" fillId="0" borderId="0" xfId="95" applyFill="1">
      <alignment/>
      <protection/>
    </xf>
    <xf numFmtId="0" fontId="0" fillId="0" borderId="0" xfId="0" applyFill="1" applyAlignment="1">
      <alignment/>
    </xf>
    <xf numFmtId="0" fontId="6" fillId="0" borderId="43" xfId="95" applyFont="1" applyFill="1" applyBorder="1" applyAlignment="1">
      <alignment horizontal="center" vertical="center" wrapText="1"/>
      <protection/>
    </xf>
    <xf numFmtId="0" fontId="6" fillId="0" borderId="0" xfId="95" applyFont="1" applyFill="1" applyAlignment="1">
      <alignment horizontal="center"/>
      <protection/>
    </xf>
    <xf numFmtId="0" fontId="6" fillId="0" borderId="54" xfId="95" applyFont="1" applyFill="1" applyBorder="1">
      <alignment/>
      <protection/>
    </xf>
    <xf numFmtId="0" fontId="6" fillId="0" borderId="24" xfId="95" applyFont="1" applyFill="1" applyBorder="1">
      <alignment/>
      <protection/>
    </xf>
    <xf numFmtId="0" fontId="0" fillId="0" borderId="24" xfId="95" applyFill="1" applyBorder="1" applyAlignment="1">
      <alignment wrapText="1"/>
      <protection/>
    </xf>
    <xf numFmtId="3" fontId="6" fillId="0" borderId="24" xfId="95" applyNumberFormat="1" applyFont="1" applyFill="1" applyBorder="1" applyAlignment="1">
      <alignment wrapText="1"/>
      <protection/>
    </xf>
    <xf numFmtId="3" fontId="6" fillId="0" borderId="24" xfId="95" applyNumberFormat="1" applyFont="1" applyFill="1" applyBorder="1">
      <alignment/>
      <protection/>
    </xf>
    <xf numFmtId="0" fontId="0" fillId="0" borderId="24" xfId="95" applyFill="1" applyBorder="1">
      <alignment/>
      <protection/>
    </xf>
    <xf numFmtId="0" fontId="6" fillId="0" borderId="26" xfId="95" applyFont="1" applyFill="1" applyBorder="1" applyAlignment="1">
      <alignment horizontal="center" vertical="center"/>
      <protection/>
    </xf>
    <xf numFmtId="0" fontId="0" fillId="0" borderId="41" xfId="95" applyFill="1" applyBorder="1" applyAlignment="1">
      <alignment wrapText="1"/>
      <protection/>
    </xf>
    <xf numFmtId="3" fontId="0" fillId="0" borderId="41" xfId="95" applyNumberFormat="1" applyFill="1" applyBorder="1">
      <alignment/>
      <protection/>
    </xf>
    <xf numFmtId="0" fontId="0" fillId="0" borderId="41" xfId="95" applyFill="1" applyBorder="1">
      <alignment/>
      <protection/>
    </xf>
    <xf numFmtId="3" fontId="0" fillId="0" borderId="28" xfId="95" applyNumberFormat="1" applyFill="1" applyBorder="1">
      <alignment/>
      <protection/>
    </xf>
    <xf numFmtId="0" fontId="0" fillId="0" borderId="28" xfId="95" applyFill="1" applyBorder="1">
      <alignment/>
      <protection/>
    </xf>
    <xf numFmtId="3" fontId="0" fillId="0" borderId="20" xfId="95" applyNumberFormat="1" applyFill="1" applyBorder="1">
      <alignment/>
      <protection/>
    </xf>
    <xf numFmtId="0" fontId="0" fillId="0" borderId="20" xfId="95" applyFill="1" applyBorder="1">
      <alignment/>
      <protection/>
    </xf>
    <xf numFmtId="0" fontId="0" fillId="0" borderId="0" xfId="95" applyFill="1" applyAlignment="1">
      <alignment horizontal="left" vertical="center" wrapText="1"/>
      <protection/>
    </xf>
    <xf numFmtId="0" fontId="6" fillId="0" borderId="22" xfId="95" applyFont="1" applyFill="1" applyBorder="1" applyAlignment="1">
      <alignment horizontal="center" vertical="center"/>
      <protection/>
    </xf>
    <xf numFmtId="0" fontId="0" fillId="0" borderId="46" xfId="95" applyFill="1" applyBorder="1" applyAlignment="1">
      <alignment horizontal="left" vertical="center" wrapText="1"/>
      <protection/>
    </xf>
    <xf numFmtId="3" fontId="0" fillId="0" borderId="46" xfId="95" applyNumberFormat="1" applyFill="1" applyBorder="1" applyAlignment="1">
      <alignment horizontal="right" vertical="center"/>
      <protection/>
    </xf>
    <xf numFmtId="0" fontId="0" fillId="0" borderId="46" xfId="95" applyFill="1" applyBorder="1" applyAlignment="1">
      <alignment horizontal="left" vertical="center"/>
      <protection/>
    </xf>
    <xf numFmtId="3" fontId="0" fillId="0" borderId="28" xfId="95" applyNumberFormat="1" applyFill="1" applyBorder="1" applyAlignment="1">
      <alignment horizontal="right" vertical="center"/>
      <protection/>
    </xf>
    <xf numFmtId="0" fontId="0" fillId="0" borderId="28" xfId="95" applyFill="1" applyBorder="1" applyAlignment="1">
      <alignment horizontal="center"/>
      <protection/>
    </xf>
    <xf numFmtId="3" fontId="0" fillId="0" borderId="41" xfId="95" applyNumberFormat="1" applyFill="1" applyBorder="1" applyAlignment="1">
      <alignment horizontal="right" vertical="center"/>
      <protection/>
    </xf>
    <xf numFmtId="0" fontId="0" fillId="0" borderId="41" xfId="95" applyFill="1" applyBorder="1" applyAlignment="1">
      <alignment horizontal="center"/>
      <protection/>
    </xf>
    <xf numFmtId="0" fontId="0" fillId="0" borderId="20" xfId="95" applyFill="1" applyBorder="1" applyAlignment="1">
      <alignment vertical="center" wrapText="1"/>
      <protection/>
    </xf>
    <xf numFmtId="0" fontId="0" fillId="0" borderId="0" xfId="95" applyFill="1" applyAlignment="1">
      <alignment vertical="center" wrapText="1"/>
      <protection/>
    </xf>
    <xf numFmtId="0" fontId="6" fillId="0" borderId="22" xfId="95" applyFont="1" applyFill="1" applyBorder="1" applyAlignment="1">
      <alignment horizontal="center" vertical="center" wrapText="1"/>
      <protection/>
    </xf>
    <xf numFmtId="0" fontId="0" fillId="0" borderId="46" xfId="95" applyFill="1" applyBorder="1" applyAlignment="1">
      <alignment vertical="center" wrapText="1"/>
      <protection/>
    </xf>
    <xf numFmtId="3" fontId="0" fillId="0" borderId="46" xfId="95" applyNumberFormat="1" applyFill="1" applyBorder="1" applyAlignment="1">
      <alignment vertical="center" wrapText="1"/>
      <protection/>
    </xf>
    <xf numFmtId="0" fontId="0" fillId="0" borderId="46" xfId="95" applyFill="1" applyBorder="1" applyAlignment="1">
      <alignment vertical="center"/>
      <protection/>
    </xf>
    <xf numFmtId="0" fontId="0" fillId="0" borderId="53" xfId="95" applyFill="1" applyBorder="1" applyAlignment="1">
      <alignment vertical="center" wrapText="1"/>
      <protection/>
    </xf>
    <xf numFmtId="3" fontId="0" fillId="0" borderId="53" xfId="95" applyNumberFormat="1" applyFill="1" applyBorder="1" applyAlignment="1">
      <alignment vertical="center" wrapText="1"/>
      <protection/>
    </xf>
    <xf numFmtId="0" fontId="0" fillId="0" borderId="53" xfId="95" applyFill="1" applyBorder="1" applyAlignment="1">
      <alignment vertical="center"/>
      <protection/>
    </xf>
    <xf numFmtId="0" fontId="161" fillId="0" borderId="22" xfId="95" applyFont="1" applyFill="1" applyBorder="1" applyAlignment="1">
      <alignment horizontal="center" vertical="center"/>
      <protection/>
    </xf>
    <xf numFmtId="0" fontId="162" fillId="0" borderId="46" xfId="95" applyFont="1" applyFill="1" applyBorder="1" applyAlignment="1">
      <alignment wrapText="1"/>
      <protection/>
    </xf>
    <xf numFmtId="3" fontId="162" fillId="0" borderId="46" xfId="95" applyNumberFormat="1" applyFont="1" applyFill="1" applyBorder="1">
      <alignment/>
      <protection/>
    </xf>
    <xf numFmtId="0" fontId="162" fillId="0" borderId="46" xfId="95" applyFont="1" applyFill="1" applyBorder="1">
      <alignment/>
      <protection/>
    </xf>
    <xf numFmtId="3" fontId="162" fillId="0" borderId="47" xfId="95" applyNumberFormat="1" applyFont="1" applyFill="1" applyBorder="1">
      <alignment/>
      <protection/>
    </xf>
    <xf numFmtId="0" fontId="162" fillId="0" borderId="24" xfId="95" applyFont="1" applyFill="1" applyBorder="1" applyAlignment="1">
      <alignment vertical="center" wrapText="1"/>
      <protection/>
    </xf>
    <xf numFmtId="3" fontId="162" fillId="0" borderId="28" xfId="95" applyNumberFormat="1" applyFont="1" applyFill="1" applyBorder="1">
      <alignment/>
      <protection/>
    </xf>
    <xf numFmtId="0" fontId="162" fillId="0" borderId="28" xfId="95" applyFont="1" applyFill="1" applyBorder="1">
      <alignment/>
      <protection/>
    </xf>
    <xf numFmtId="0" fontId="162" fillId="0" borderId="20" xfId="95" applyFont="1" applyFill="1" applyBorder="1" applyAlignment="1">
      <alignment vertical="center" wrapText="1"/>
      <protection/>
    </xf>
    <xf numFmtId="3" fontId="162" fillId="0" borderId="20" xfId="95" applyNumberFormat="1" applyFont="1" applyFill="1" applyBorder="1">
      <alignment/>
      <protection/>
    </xf>
    <xf numFmtId="0" fontId="162" fillId="0" borderId="20" xfId="95" applyFont="1" applyFill="1" applyBorder="1">
      <alignment/>
      <protection/>
    </xf>
    <xf numFmtId="3" fontId="162" fillId="0" borderId="21" xfId="95" applyNumberFormat="1" applyFont="1" applyFill="1" applyBorder="1">
      <alignment/>
      <protection/>
    </xf>
    <xf numFmtId="3" fontId="11" fillId="0" borderId="26" xfId="103" applyNumberFormat="1" applyFont="1" applyFill="1" applyBorder="1" applyAlignment="1">
      <alignment vertical="center"/>
      <protection/>
    </xf>
    <xf numFmtId="0" fontId="19" fillId="0" borderId="0" xfId="0" applyFont="1" applyFill="1" applyAlignment="1">
      <alignment wrapText="1"/>
    </xf>
    <xf numFmtId="3" fontId="1" fillId="0" borderId="0" xfId="101" applyNumberFormat="1" applyFill="1" applyAlignment="1">
      <alignment vertical="center" wrapText="1"/>
      <protection/>
    </xf>
    <xf numFmtId="3" fontId="1" fillId="0" borderId="0" xfId="101" applyNumberFormat="1" applyFill="1" applyAlignment="1">
      <alignment horizontal="right" vertical="center"/>
      <protection/>
    </xf>
    <xf numFmtId="3" fontId="85" fillId="0" borderId="20" xfId="101" applyNumberFormat="1" applyFont="1" applyFill="1" applyBorder="1" applyAlignment="1">
      <alignment horizontal="center" vertical="center"/>
      <protection/>
    </xf>
    <xf numFmtId="3" fontId="85" fillId="0" borderId="91" xfId="101" applyNumberFormat="1" applyFont="1" applyFill="1" applyBorder="1" applyAlignment="1">
      <alignment horizontal="center" vertical="center"/>
      <protection/>
    </xf>
    <xf numFmtId="3" fontId="85" fillId="0" borderId="21" xfId="101" applyNumberFormat="1" applyFont="1" applyFill="1" applyBorder="1" applyAlignment="1">
      <alignment horizontal="center" vertical="center"/>
      <protection/>
    </xf>
    <xf numFmtId="3" fontId="26" fillId="0" borderId="26" xfId="101" applyNumberFormat="1" applyFont="1" applyFill="1" applyBorder="1" applyAlignment="1">
      <alignment vertical="center" wrapText="1"/>
      <protection/>
    </xf>
    <xf numFmtId="3" fontId="26" fillId="0" borderId="41" xfId="101" applyNumberFormat="1" applyFont="1" applyFill="1" applyBorder="1" applyAlignment="1">
      <alignment vertical="center"/>
      <protection/>
    </xf>
    <xf numFmtId="3" fontId="26" fillId="0" borderId="41" xfId="101" applyNumberFormat="1" applyFont="1" applyFill="1" applyBorder="1" applyAlignment="1">
      <alignment horizontal="right" vertical="center"/>
      <protection/>
    </xf>
    <xf numFmtId="3" fontId="26" fillId="0" borderId="25" xfId="101" applyNumberFormat="1" applyFont="1" applyFill="1" applyBorder="1" applyAlignment="1">
      <alignment horizontal="right" vertical="center"/>
      <protection/>
    </xf>
    <xf numFmtId="3" fontId="26" fillId="0" borderId="19" xfId="101" applyNumberFormat="1" applyFont="1" applyFill="1" applyBorder="1" applyAlignment="1">
      <alignment vertical="center" wrapText="1"/>
      <protection/>
    </xf>
    <xf numFmtId="3" fontId="26" fillId="0" borderId="24" xfId="101" applyNumberFormat="1" applyFont="1" applyFill="1" applyBorder="1" applyAlignment="1">
      <alignment vertical="center"/>
      <protection/>
    </xf>
    <xf numFmtId="3" fontId="26" fillId="0" borderId="24" xfId="101" applyNumberFormat="1" applyFont="1" applyFill="1" applyBorder="1" applyAlignment="1">
      <alignment horizontal="right" vertical="center"/>
      <protection/>
    </xf>
    <xf numFmtId="3" fontId="26" fillId="0" borderId="29" xfId="101" applyNumberFormat="1" applyFont="1" applyFill="1" applyBorder="1" applyAlignment="1">
      <alignment vertical="center" wrapText="1"/>
      <protection/>
    </xf>
    <xf numFmtId="3" fontId="26" fillId="0" borderId="28" xfId="101" applyNumberFormat="1" applyFont="1" applyFill="1" applyBorder="1" applyAlignment="1">
      <alignment vertical="center"/>
      <protection/>
    </xf>
    <xf numFmtId="3" fontId="26" fillId="0" borderId="28" xfId="101" applyNumberFormat="1" applyFont="1" applyFill="1" applyBorder="1" applyAlignment="1">
      <alignment horizontal="right" vertical="center"/>
      <protection/>
    </xf>
    <xf numFmtId="3" fontId="26" fillId="0" borderId="23" xfId="101" applyNumberFormat="1" applyFont="1" applyFill="1" applyBorder="1" applyAlignment="1">
      <alignment vertical="center" wrapText="1"/>
      <protection/>
    </xf>
    <xf numFmtId="3" fontId="26" fillId="0" borderId="20" xfId="101" applyNumberFormat="1" applyFont="1" applyFill="1" applyBorder="1" applyAlignment="1">
      <alignment vertical="center"/>
      <protection/>
    </xf>
    <xf numFmtId="3" fontId="26" fillId="0" borderId="20" xfId="101" applyNumberFormat="1" applyFont="1" applyFill="1" applyBorder="1" applyAlignment="1">
      <alignment horizontal="right" vertical="center"/>
      <protection/>
    </xf>
    <xf numFmtId="3" fontId="26" fillId="0" borderId="21" xfId="101" applyNumberFormat="1" applyFont="1" applyFill="1" applyBorder="1" applyAlignment="1">
      <alignment horizontal="right" vertical="center"/>
      <protection/>
    </xf>
    <xf numFmtId="3" fontId="24" fillId="0" borderId="39" xfId="101" applyNumberFormat="1" applyFont="1" applyFill="1" applyBorder="1" applyAlignment="1">
      <alignment vertical="center" wrapText="1"/>
      <protection/>
    </xf>
    <xf numFmtId="3" fontId="24" fillId="0" borderId="52" xfId="101" applyNumberFormat="1" applyFont="1" applyFill="1" applyBorder="1" applyAlignment="1">
      <alignment vertical="center"/>
      <protection/>
    </xf>
    <xf numFmtId="3" fontId="24" fillId="0" borderId="48" xfId="101" applyNumberFormat="1" applyFont="1" applyFill="1" applyBorder="1" applyAlignment="1">
      <alignment vertical="center"/>
      <protection/>
    </xf>
    <xf numFmtId="3" fontId="15" fillId="0" borderId="33" xfId="103" applyNumberFormat="1" applyFont="1" applyFill="1" applyBorder="1" applyAlignment="1">
      <alignment horizontal="right" vertical="center"/>
      <protection/>
    </xf>
    <xf numFmtId="3" fontId="15" fillId="0" borderId="33" xfId="103" applyNumberFormat="1" applyFont="1" applyFill="1" applyBorder="1" applyAlignment="1">
      <alignment horizontal="right" vertical="center"/>
      <protection/>
    </xf>
    <xf numFmtId="3" fontId="12" fillId="0" borderId="38" xfId="103" applyNumberFormat="1" applyFont="1" applyFill="1" applyBorder="1" applyAlignment="1">
      <alignment horizontal="right" vertical="center"/>
      <protection/>
    </xf>
    <xf numFmtId="3" fontId="15" fillId="53" borderId="54" xfId="0" applyNumberFormat="1" applyFont="1" applyFill="1" applyBorder="1" applyAlignment="1">
      <alignment horizontal="right" vertical="center"/>
    </xf>
    <xf numFmtId="3" fontId="15" fillId="0" borderId="33" xfId="0" applyNumberFormat="1" applyFont="1" applyFill="1" applyBorder="1" applyAlignment="1">
      <alignment horizontal="right" vertical="center"/>
    </xf>
    <xf numFmtId="3" fontId="15" fillId="0" borderId="46" xfId="0" applyNumberFormat="1" applyFont="1" applyFill="1" applyBorder="1" applyAlignment="1">
      <alignment horizontal="right" vertical="center"/>
    </xf>
    <xf numFmtId="3" fontId="15" fillId="0" borderId="41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51" borderId="24" xfId="0" applyNumberFormat="1" applyFont="1" applyFill="1" applyBorder="1" applyAlignment="1">
      <alignment horizontal="right" vertical="center"/>
    </xf>
    <xf numFmtId="3" fontId="15" fillId="44" borderId="24" xfId="0" applyNumberFormat="1" applyFont="1" applyFill="1" applyBorder="1" applyAlignment="1">
      <alignment horizontal="right" vertical="center"/>
    </xf>
    <xf numFmtId="3" fontId="15" fillId="0" borderId="24" xfId="0" applyNumberFormat="1" applyFont="1" applyBorder="1" applyAlignment="1">
      <alignment vertical="center"/>
    </xf>
    <xf numFmtId="3" fontId="15" fillId="0" borderId="24" xfId="103" applyNumberFormat="1" applyFont="1" applyBorder="1" applyAlignment="1">
      <alignment horizontal="right" vertical="center"/>
      <protection/>
    </xf>
    <xf numFmtId="3" fontId="15" fillId="0" borderId="25" xfId="103" applyNumberFormat="1" applyFont="1" applyFill="1" applyBorder="1" applyAlignment="1">
      <alignment horizontal="right" vertical="center"/>
      <protection/>
    </xf>
    <xf numFmtId="3" fontId="15" fillId="0" borderId="24" xfId="103" applyNumberFormat="1" applyFont="1" applyFill="1" applyBorder="1" applyAlignment="1">
      <alignment horizontal="right" vertical="center"/>
      <protection/>
    </xf>
    <xf numFmtId="3" fontId="15" fillId="0" borderId="25" xfId="103" applyNumberFormat="1" applyFont="1" applyFill="1" applyBorder="1" applyAlignment="1">
      <alignment horizontal="right" vertical="center"/>
      <protection/>
    </xf>
    <xf numFmtId="3" fontId="66" fillId="0" borderId="53" xfId="101" applyNumberFormat="1" applyFont="1" applyFill="1" applyBorder="1">
      <alignment/>
      <protection/>
    </xf>
    <xf numFmtId="0" fontId="66" fillId="0" borderId="26" xfId="101" applyFont="1" applyFill="1" applyBorder="1">
      <alignment/>
      <protection/>
    </xf>
    <xf numFmtId="3" fontId="163" fillId="0" borderId="25" xfId="103" applyNumberFormat="1" applyFont="1" applyFill="1" applyBorder="1" applyAlignment="1">
      <alignment horizontal="right" vertical="center"/>
      <protection/>
    </xf>
    <xf numFmtId="0" fontId="12" fillId="1" borderId="24" xfId="103" applyFont="1" applyFill="1" applyBorder="1" applyAlignment="1">
      <alignment horizontal="center" vertical="center"/>
      <protection/>
    </xf>
    <xf numFmtId="3" fontId="3" fillId="0" borderId="50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7" fillId="49" borderId="58" xfId="0" applyNumberFormat="1" applyFont="1" applyFill="1" applyBorder="1" applyAlignment="1">
      <alignment horizontal="right" vertical="center" wrapText="1"/>
    </xf>
    <xf numFmtId="3" fontId="7" fillId="49" borderId="47" xfId="0" applyNumberFormat="1" applyFont="1" applyFill="1" applyBorder="1" applyAlignment="1">
      <alignment horizontal="right" vertical="center" wrapText="1"/>
    </xf>
    <xf numFmtId="3" fontId="3" fillId="0" borderId="58" xfId="0" applyNumberFormat="1" applyFont="1" applyFill="1" applyBorder="1" applyAlignment="1">
      <alignment vertical="center"/>
    </xf>
    <xf numFmtId="0" fontId="0" fillId="0" borderId="60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60" xfId="0" applyFont="1" applyBorder="1" applyAlignment="1">
      <alignment/>
    </xf>
    <xf numFmtId="3" fontId="3" fillId="0" borderId="50" xfId="0" applyNumberFormat="1" applyFont="1" applyFill="1" applyBorder="1" applyAlignment="1">
      <alignment horizontal="center" vertical="center" wrapText="1"/>
    </xf>
    <xf numFmtId="3" fontId="7" fillId="0" borderId="97" xfId="0" applyNumberFormat="1" applyFont="1" applyFill="1" applyBorder="1" applyAlignment="1">
      <alignment vertical="center"/>
    </xf>
    <xf numFmtId="3" fontId="39" fillId="0" borderId="50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88" xfId="0" applyNumberFormat="1" applyFont="1" applyBorder="1" applyAlignment="1">
      <alignment vertical="center"/>
    </xf>
    <xf numFmtId="3" fontId="3" fillId="0" borderId="68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3" fillId="0" borderId="59" xfId="0" applyNumberFormat="1" applyFont="1" applyBorder="1" applyAlignment="1">
      <alignment vertical="center"/>
    </xf>
    <xf numFmtId="0" fontId="13" fillId="0" borderId="50" xfId="103" applyFont="1" applyBorder="1" applyAlignment="1">
      <alignment horizontal="center" vertical="center"/>
      <protection/>
    </xf>
    <xf numFmtId="3" fontId="11" fillId="0" borderId="97" xfId="103" applyNumberFormat="1" applyBorder="1" applyAlignment="1">
      <alignment vertical="center"/>
      <protection/>
    </xf>
    <xf numFmtId="3" fontId="11" fillId="0" borderId="88" xfId="103" applyNumberFormat="1" applyBorder="1" applyAlignment="1">
      <alignment vertical="center"/>
      <protection/>
    </xf>
    <xf numFmtId="3" fontId="11" fillId="0" borderId="30" xfId="103" applyNumberFormat="1" applyBorder="1" applyAlignment="1">
      <alignment vertical="center"/>
      <protection/>
    </xf>
    <xf numFmtId="3" fontId="11" fillId="0" borderId="91" xfId="103" applyNumberFormat="1" applyBorder="1" applyAlignment="1">
      <alignment vertical="center"/>
      <protection/>
    </xf>
    <xf numFmtId="3" fontId="11" fillId="0" borderId="90" xfId="103" applyNumberFormat="1" applyBorder="1" applyAlignment="1">
      <alignment vertical="center"/>
      <protection/>
    </xf>
    <xf numFmtId="3" fontId="11" fillId="0" borderId="35" xfId="103" applyNumberFormat="1" applyFont="1" applyBorder="1" applyAlignment="1">
      <alignment vertical="center"/>
      <protection/>
    </xf>
    <xf numFmtId="3" fontId="13" fillId="0" borderId="50" xfId="103" applyNumberFormat="1" applyFont="1" applyBorder="1" applyAlignment="1">
      <alignment vertical="center"/>
      <protection/>
    </xf>
    <xf numFmtId="3" fontId="17" fillId="0" borderId="50" xfId="103" applyNumberFormat="1" applyFont="1" applyBorder="1" applyAlignment="1">
      <alignment vertical="center"/>
      <protection/>
    </xf>
    <xf numFmtId="3" fontId="17" fillId="0" borderId="30" xfId="103" applyNumberFormat="1" applyFont="1" applyBorder="1" applyAlignment="1">
      <alignment vertical="center"/>
      <protection/>
    </xf>
    <xf numFmtId="3" fontId="17" fillId="0" borderId="90" xfId="103" applyNumberFormat="1" applyFont="1" applyBorder="1" applyAlignment="1">
      <alignment vertical="center"/>
      <protection/>
    </xf>
    <xf numFmtId="3" fontId="38" fillId="0" borderId="90" xfId="103" applyNumberFormat="1" applyFont="1" applyBorder="1" applyAlignment="1">
      <alignment vertical="center"/>
      <protection/>
    </xf>
    <xf numFmtId="3" fontId="11" fillId="0" borderId="50" xfId="103" applyNumberFormat="1" applyBorder="1" applyAlignment="1">
      <alignment vertical="center"/>
      <protection/>
    </xf>
    <xf numFmtId="3" fontId="38" fillId="0" borderId="50" xfId="103" applyNumberFormat="1" applyFont="1" applyBorder="1" applyAlignment="1">
      <alignment vertical="center"/>
      <protection/>
    </xf>
    <xf numFmtId="3" fontId="11" fillId="0" borderId="41" xfId="103" applyNumberFormat="1" applyBorder="1" applyAlignment="1">
      <alignment vertical="center"/>
      <protection/>
    </xf>
    <xf numFmtId="3" fontId="11" fillId="0" borderId="58" xfId="103" applyNumberFormat="1" applyBorder="1" applyAlignment="1">
      <alignment vertical="center"/>
      <protection/>
    </xf>
    <xf numFmtId="3" fontId="11" fillId="0" borderId="24" xfId="103" applyNumberFormat="1" applyBorder="1" applyAlignment="1">
      <alignment vertical="center"/>
      <protection/>
    </xf>
    <xf numFmtId="3" fontId="11" fillId="0" borderId="25" xfId="103" applyNumberFormat="1" applyBorder="1" applyAlignment="1">
      <alignment vertical="center"/>
      <protection/>
    </xf>
    <xf numFmtId="3" fontId="11" fillId="0" borderId="28" xfId="103" applyNumberFormat="1" applyBorder="1" applyAlignment="1">
      <alignment vertical="center"/>
      <protection/>
    </xf>
    <xf numFmtId="3" fontId="11" fillId="0" borderId="59" xfId="103" applyNumberFormat="1" applyBorder="1" applyAlignment="1">
      <alignment vertical="center"/>
      <protection/>
    </xf>
    <xf numFmtId="3" fontId="11" fillId="0" borderId="20" xfId="103" applyNumberFormat="1" applyBorder="1" applyAlignment="1">
      <alignment vertical="center"/>
      <protection/>
    </xf>
    <xf numFmtId="3" fontId="11" fillId="0" borderId="21" xfId="103" applyNumberFormat="1" applyBorder="1" applyAlignment="1">
      <alignment vertical="center"/>
      <protection/>
    </xf>
    <xf numFmtId="3" fontId="11" fillId="0" borderId="52" xfId="103" applyNumberFormat="1" applyBorder="1" applyAlignment="1">
      <alignment vertical="center"/>
      <protection/>
    </xf>
    <xf numFmtId="3" fontId="11" fillId="0" borderId="48" xfId="103" applyNumberFormat="1" applyBorder="1" applyAlignment="1">
      <alignment vertical="center"/>
      <protection/>
    </xf>
    <xf numFmtId="3" fontId="13" fillId="0" borderId="41" xfId="103" applyNumberFormat="1" applyFont="1" applyFill="1" applyBorder="1" applyAlignment="1">
      <alignment vertical="center"/>
      <protection/>
    </xf>
    <xf numFmtId="3" fontId="13" fillId="0" borderId="58" xfId="103" applyNumberFormat="1" applyFont="1" applyFill="1" applyBorder="1" applyAlignment="1">
      <alignment vertical="center"/>
      <protection/>
    </xf>
    <xf numFmtId="3" fontId="11" fillId="0" borderId="41" xfId="103" applyNumberFormat="1" applyFont="1" applyBorder="1" applyAlignment="1">
      <alignment vertical="center"/>
      <protection/>
    </xf>
    <xf numFmtId="3" fontId="11" fillId="0" borderId="58" xfId="103" applyNumberFormat="1" applyFont="1" applyBorder="1" applyAlignment="1">
      <alignment vertical="center"/>
      <protection/>
    </xf>
    <xf numFmtId="3" fontId="13" fillId="0" borderId="28" xfId="103" applyNumberFormat="1" applyFont="1" applyBorder="1" applyAlignment="1">
      <alignment vertical="center"/>
      <protection/>
    </xf>
    <xf numFmtId="3" fontId="13" fillId="0" borderId="59" xfId="103" applyNumberFormat="1" applyFont="1" applyBorder="1" applyAlignment="1">
      <alignment vertical="center"/>
      <protection/>
    </xf>
    <xf numFmtId="3" fontId="13" fillId="0" borderId="27" xfId="103" applyNumberFormat="1" applyFont="1" applyBorder="1" applyAlignment="1">
      <alignment vertical="center"/>
      <protection/>
    </xf>
    <xf numFmtId="3" fontId="13" fillId="0" borderId="44" xfId="103" applyNumberFormat="1" applyFont="1" applyBorder="1" applyAlignment="1">
      <alignment vertical="center"/>
      <protection/>
    </xf>
    <xf numFmtId="3" fontId="17" fillId="0" borderId="27" xfId="103" applyNumberFormat="1" applyFont="1" applyBorder="1" applyAlignment="1">
      <alignment vertical="center"/>
      <protection/>
    </xf>
    <xf numFmtId="3" fontId="17" fillId="0" borderId="44" xfId="103" applyNumberFormat="1" applyFont="1" applyBorder="1" applyAlignment="1">
      <alignment vertical="center"/>
      <protection/>
    </xf>
    <xf numFmtId="3" fontId="11" fillId="0" borderId="46" xfId="103" applyNumberFormat="1" applyFill="1" applyBorder="1" applyAlignment="1">
      <alignment vertical="center"/>
      <protection/>
    </xf>
    <xf numFmtId="3" fontId="11" fillId="0" borderId="47" xfId="103" applyNumberFormat="1" applyFill="1" applyBorder="1" applyAlignment="1">
      <alignment vertical="center"/>
      <protection/>
    </xf>
    <xf numFmtId="3" fontId="11" fillId="0" borderId="41" xfId="103" applyNumberFormat="1" applyFont="1" applyFill="1" applyBorder="1" applyAlignment="1">
      <alignment vertical="center"/>
      <protection/>
    </xf>
    <xf numFmtId="3" fontId="11" fillId="0" borderId="58" xfId="103" applyNumberFormat="1" applyFont="1" applyFill="1" applyBorder="1" applyAlignment="1">
      <alignment vertical="center"/>
      <protection/>
    </xf>
    <xf numFmtId="3" fontId="17" fillId="0" borderId="28" xfId="103" applyNumberFormat="1" applyFont="1" applyBorder="1" applyAlignment="1">
      <alignment vertical="center"/>
      <protection/>
    </xf>
    <xf numFmtId="3" fontId="17" fillId="0" borderId="59" xfId="103" applyNumberFormat="1" applyFont="1" applyBorder="1" applyAlignment="1">
      <alignment vertical="center"/>
      <protection/>
    </xf>
    <xf numFmtId="3" fontId="17" fillId="0" borderId="52" xfId="103" applyNumberFormat="1" applyFont="1" applyBorder="1" applyAlignment="1">
      <alignment vertical="center"/>
      <protection/>
    </xf>
    <xf numFmtId="3" fontId="17" fillId="0" borderId="48" xfId="103" applyNumberFormat="1" applyFont="1" applyBorder="1" applyAlignment="1">
      <alignment vertical="center"/>
      <protection/>
    </xf>
    <xf numFmtId="3" fontId="38" fillId="0" borderId="52" xfId="103" applyNumberFormat="1" applyFont="1" applyBorder="1" applyAlignment="1">
      <alignment vertical="center"/>
      <protection/>
    </xf>
    <xf numFmtId="3" fontId="38" fillId="0" borderId="48" xfId="103" applyNumberFormat="1" applyFont="1" applyBorder="1" applyAlignment="1">
      <alignment vertical="center"/>
      <protection/>
    </xf>
    <xf numFmtId="3" fontId="11" fillId="0" borderId="46" xfId="103" applyNumberFormat="1" applyBorder="1" applyAlignment="1">
      <alignment vertical="center"/>
      <protection/>
    </xf>
    <xf numFmtId="3" fontId="11" fillId="0" borderId="47" xfId="103" applyNumberFormat="1" applyBorder="1" applyAlignment="1">
      <alignment vertical="center"/>
      <protection/>
    </xf>
    <xf numFmtId="3" fontId="11" fillId="0" borderId="24" xfId="103" applyNumberFormat="1" applyFill="1" applyBorder="1" applyAlignment="1">
      <alignment vertical="center"/>
      <protection/>
    </xf>
    <xf numFmtId="3" fontId="11" fillId="0" borderId="25" xfId="103" applyNumberFormat="1" applyFill="1" applyBorder="1" applyAlignment="1">
      <alignment vertical="center"/>
      <protection/>
    </xf>
    <xf numFmtId="3" fontId="11" fillId="0" borderId="27" xfId="103" applyNumberFormat="1" applyBorder="1" applyAlignment="1">
      <alignment vertical="center"/>
      <protection/>
    </xf>
    <xf numFmtId="3" fontId="11" fillId="0" borderId="44" xfId="103" applyNumberFormat="1" applyBorder="1" applyAlignment="1">
      <alignment vertical="center"/>
      <protection/>
    </xf>
    <xf numFmtId="3" fontId="38" fillId="0" borderId="27" xfId="103" applyNumberFormat="1" applyFont="1" applyBorder="1" applyAlignment="1">
      <alignment vertical="center"/>
      <protection/>
    </xf>
    <xf numFmtId="3" fontId="38" fillId="0" borderId="44" xfId="103" applyNumberFormat="1" applyFont="1" applyBorder="1" applyAlignment="1">
      <alignment vertical="center"/>
      <protection/>
    </xf>
    <xf numFmtId="0" fontId="3" fillId="0" borderId="51" xfId="0" applyFont="1" applyFill="1" applyBorder="1" applyAlignment="1">
      <alignment horizontal="centerContinuous" vertical="center" wrapText="1"/>
    </xf>
    <xf numFmtId="3" fontId="3" fillId="0" borderId="51" xfId="0" applyNumberFormat="1" applyFont="1" applyFill="1" applyBorder="1" applyAlignment="1">
      <alignment vertical="center"/>
    </xf>
    <xf numFmtId="3" fontId="7" fillId="0" borderId="70" xfId="0" applyNumberFormat="1" applyFont="1" applyBorder="1" applyAlignment="1">
      <alignment vertical="center"/>
    </xf>
    <xf numFmtId="3" fontId="7" fillId="0" borderId="70" xfId="0" applyNumberFormat="1" applyFont="1" applyFill="1" applyBorder="1" applyAlignment="1">
      <alignment vertical="center"/>
    </xf>
    <xf numFmtId="3" fontId="7" fillId="0" borderId="98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7" fillId="0" borderId="86" xfId="0" applyNumberFormat="1" applyFont="1" applyFill="1" applyBorder="1" applyAlignment="1">
      <alignment vertical="center"/>
    </xf>
    <xf numFmtId="3" fontId="7" fillId="0" borderId="87" xfId="0" applyNumberFormat="1" applyFont="1" applyBorder="1" applyAlignment="1">
      <alignment vertical="center"/>
    </xf>
    <xf numFmtId="3" fontId="7" fillId="0" borderId="98" xfId="0" applyNumberFormat="1" applyFont="1" applyFill="1" applyBorder="1" applyAlignment="1">
      <alignment vertical="center"/>
    </xf>
    <xf numFmtId="3" fontId="39" fillId="0" borderId="51" xfId="0" applyNumberFormat="1" applyFont="1" applyFill="1" applyBorder="1" applyAlignment="1">
      <alignment vertical="center"/>
    </xf>
    <xf numFmtId="0" fontId="4" fillId="0" borderId="87" xfId="0" applyFont="1" applyBorder="1" applyAlignment="1">
      <alignment vertical="center"/>
    </xf>
    <xf numFmtId="3" fontId="3" fillId="0" borderId="51" xfId="0" applyNumberFormat="1" applyFont="1" applyFill="1" applyBorder="1" applyAlignment="1">
      <alignment horizontal="right" vertical="center"/>
    </xf>
    <xf numFmtId="3" fontId="7" fillId="0" borderId="92" xfId="0" applyNumberFormat="1" applyFont="1" applyFill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7" fillId="0" borderId="88" xfId="0" applyNumberFormat="1" applyFont="1" applyFill="1" applyBorder="1" applyAlignment="1">
      <alignment vertical="center"/>
    </xf>
    <xf numFmtId="3" fontId="7" fillId="0" borderId="95" xfId="0" applyNumberFormat="1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3" fontId="7" fillId="0" borderId="91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0" fontId="45" fillId="0" borderId="69" xfId="0" applyFont="1" applyFill="1" applyBorder="1" applyAlignment="1" applyProtection="1">
      <alignment horizontal="left" vertical="center" wrapText="1" indent="1"/>
      <protection/>
    </xf>
    <xf numFmtId="0" fontId="45" fillId="0" borderId="93" xfId="106" applyFont="1" applyFill="1" applyBorder="1" applyAlignment="1" applyProtection="1">
      <alignment horizontal="left" vertical="center" wrapText="1" indent="1"/>
      <protection/>
    </xf>
    <xf numFmtId="0" fontId="57" fillId="0" borderId="38" xfId="0" applyFont="1" applyBorder="1" applyAlignment="1" applyProtection="1">
      <alignment horizontal="left" wrapText="1" indent="1"/>
      <protection/>
    </xf>
    <xf numFmtId="169" fontId="45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95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41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24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58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59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0" xfId="0" applyFill="1" applyBorder="1" applyAlignment="1" applyProtection="1">
      <alignment horizontal="right" vertical="center" wrapText="1" indent="1"/>
      <protection/>
    </xf>
    <xf numFmtId="169" fontId="45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5" xfId="0" applyFont="1" applyFill="1" applyBorder="1" applyAlignment="1" applyProtection="1">
      <alignment horizontal="right" vertical="center" wrapText="1" indent="1"/>
      <protection/>
    </xf>
    <xf numFmtId="3" fontId="28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20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24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20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1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0" xfId="103" applyFont="1" applyFill="1" applyBorder="1" applyAlignment="1">
      <alignment horizontal="center" vertical="center" wrapText="1"/>
      <protection/>
    </xf>
    <xf numFmtId="3" fontId="7" fillId="0" borderId="97" xfId="103" applyNumberFormat="1" applyFont="1" applyFill="1" applyBorder="1" applyAlignment="1">
      <alignment horizontal="right" vertical="center"/>
      <protection/>
    </xf>
    <xf numFmtId="3" fontId="7" fillId="0" borderId="88" xfId="103" applyNumberFormat="1" applyFont="1" applyFill="1" applyBorder="1" applyAlignment="1">
      <alignment horizontal="right" vertical="center"/>
      <protection/>
    </xf>
    <xf numFmtId="3" fontId="3" fillId="0" borderId="50" xfId="103" applyNumberFormat="1" applyFont="1" applyFill="1" applyBorder="1" applyAlignment="1">
      <alignment vertical="center"/>
      <protection/>
    </xf>
    <xf numFmtId="0" fontId="6" fillId="0" borderId="43" xfId="103" applyFont="1" applyFill="1" applyBorder="1" applyAlignment="1">
      <alignment horizontal="center" vertical="center"/>
      <protection/>
    </xf>
    <xf numFmtId="0" fontId="6" fillId="0" borderId="27" xfId="103" applyFont="1" applyFill="1" applyBorder="1" applyAlignment="1">
      <alignment horizontal="center" vertical="center"/>
      <protection/>
    </xf>
    <xf numFmtId="0" fontId="6" fillId="0" borderId="44" xfId="103" applyFont="1" applyFill="1" applyBorder="1" applyAlignment="1">
      <alignment horizontal="center" vertical="center" wrapText="1"/>
      <protection/>
    </xf>
    <xf numFmtId="3" fontId="7" fillId="0" borderId="24" xfId="103" applyNumberFormat="1" applyFont="1" applyFill="1" applyBorder="1" applyAlignment="1">
      <alignment horizontal="right" vertical="center"/>
      <protection/>
    </xf>
    <xf numFmtId="0" fontId="0" fillId="0" borderId="41" xfId="103" applyFont="1" applyFill="1" applyBorder="1" applyAlignment="1">
      <alignment horizontal="center" vertical="center"/>
      <protection/>
    </xf>
    <xf numFmtId="3" fontId="7" fillId="0" borderId="58" xfId="103" applyNumberFormat="1" applyFont="1" applyFill="1" applyBorder="1" applyAlignment="1">
      <alignment horizontal="right" vertical="center"/>
      <protection/>
    </xf>
    <xf numFmtId="3" fontId="7" fillId="0" borderId="25" xfId="103" applyNumberFormat="1" applyFont="1" applyFill="1" applyBorder="1" applyAlignment="1">
      <alignment horizontal="right" vertical="center"/>
      <protection/>
    </xf>
    <xf numFmtId="0" fontId="2" fillId="0" borderId="41" xfId="103" applyFont="1" applyFill="1" applyBorder="1" applyAlignment="1">
      <alignment horizontal="center" vertical="center"/>
      <protection/>
    </xf>
    <xf numFmtId="0" fontId="0" fillId="0" borderId="53" xfId="0" applyFont="1" applyFill="1" applyBorder="1" applyAlignment="1">
      <alignment/>
    </xf>
    <xf numFmtId="0" fontId="6" fillId="0" borderId="27" xfId="103" applyFont="1" applyFill="1" applyBorder="1" applyAlignment="1">
      <alignment vertical="center"/>
      <protection/>
    </xf>
    <xf numFmtId="3" fontId="3" fillId="0" borderId="27" xfId="103" applyNumberFormat="1" applyFont="1" applyFill="1" applyBorder="1" applyAlignment="1">
      <alignment vertical="center"/>
      <protection/>
    </xf>
    <xf numFmtId="3" fontId="3" fillId="0" borderId="44" xfId="103" applyNumberFormat="1" applyFont="1" applyFill="1" applyBorder="1" applyAlignment="1">
      <alignment vertical="center"/>
      <protection/>
    </xf>
    <xf numFmtId="0" fontId="2" fillId="0" borderId="24" xfId="103" applyFont="1" applyFill="1" applyBorder="1" applyAlignment="1">
      <alignment horizontal="center" vertical="center"/>
      <protection/>
    </xf>
    <xf numFmtId="0" fontId="0" fillId="0" borderId="24" xfId="103" applyFont="1" applyFill="1" applyBorder="1" applyAlignment="1">
      <alignment horizontal="center" vertical="center"/>
      <protection/>
    </xf>
    <xf numFmtId="0" fontId="0" fillId="0" borderId="53" xfId="0" applyFill="1" applyBorder="1" applyAlignment="1">
      <alignment/>
    </xf>
    <xf numFmtId="0" fontId="12" fillId="1" borderId="24" xfId="103" applyFont="1" applyFill="1" applyBorder="1" applyAlignment="1">
      <alignment horizontal="center" vertical="center" wrapText="1"/>
      <protection/>
    </xf>
    <xf numFmtId="0" fontId="11" fillId="0" borderId="0" xfId="96">
      <alignment/>
      <protection/>
    </xf>
    <xf numFmtId="0" fontId="86" fillId="0" borderId="24" xfId="96" applyFont="1" applyBorder="1" applyAlignment="1">
      <alignment horizontal="center" vertical="center" wrapText="1"/>
      <protection/>
    </xf>
    <xf numFmtId="0" fontId="19" fillId="0" borderId="24" xfId="96" applyFont="1" applyBorder="1" applyAlignment="1">
      <alignment horizontal="left" vertical="top" wrapText="1"/>
      <protection/>
    </xf>
    <xf numFmtId="3" fontId="19" fillId="0" borderId="24" xfId="0" applyNumberFormat="1" applyFont="1" applyBorder="1" applyAlignment="1">
      <alignment horizontal="right" vertical="top" wrapText="1"/>
    </xf>
    <xf numFmtId="3" fontId="19" fillId="0" borderId="24" xfId="96" applyNumberFormat="1" applyFont="1" applyBorder="1" applyAlignment="1">
      <alignment horizontal="right" vertical="top" wrapText="1"/>
      <protection/>
    </xf>
    <xf numFmtId="3" fontId="19" fillId="0" borderId="24" xfId="95" applyNumberFormat="1" applyFont="1" applyBorder="1" applyAlignment="1">
      <alignment horizontal="right" vertical="top" wrapText="1"/>
      <protection/>
    </xf>
    <xf numFmtId="0" fontId="86" fillId="0" borderId="24" xfId="96" applyFont="1" applyBorder="1" applyAlignment="1">
      <alignment horizontal="left" vertical="top" wrapText="1"/>
      <protection/>
    </xf>
    <xf numFmtId="3" fontId="86" fillId="0" borderId="24" xfId="96" applyNumberFormat="1" applyFont="1" applyBorder="1" applyAlignment="1">
      <alignment horizontal="right" vertical="top" wrapText="1"/>
      <protection/>
    </xf>
    <xf numFmtId="3" fontId="86" fillId="0" borderId="24" xfId="0" applyNumberFormat="1" applyFont="1" applyBorder="1" applyAlignment="1">
      <alignment horizontal="right" vertical="top" wrapText="1"/>
    </xf>
    <xf numFmtId="3" fontId="86" fillId="0" borderId="24" xfId="95" applyNumberFormat="1" applyFont="1" applyBorder="1" applyAlignment="1">
      <alignment horizontal="right" vertical="top" wrapText="1"/>
      <protection/>
    </xf>
    <xf numFmtId="0" fontId="11" fillId="0" borderId="24" xfId="96" applyFont="1" applyFill="1" applyBorder="1">
      <alignment/>
      <protection/>
    </xf>
    <xf numFmtId="0" fontId="11" fillId="0" borderId="24" xfId="96" applyFont="1" applyFill="1" applyBorder="1" applyAlignment="1">
      <alignment horizontal="center" vertical="top" wrapText="1"/>
      <protection/>
    </xf>
    <xf numFmtId="0" fontId="11" fillId="0" borderId="24" xfId="96" applyFont="1" applyFill="1" applyBorder="1" applyAlignment="1">
      <alignment horizontal="left" vertical="top" wrapText="1"/>
      <protection/>
    </xf>
    <xf numFmtId="3" fontId="11" fillId="0" borderId="24" xfId="96" applyNumberFormat="1" applyFont="1" applyFill="1" applyBorder="1" applyAlignment="1">
      <alignment horizontal="right" vertical="top" wrapText="1"/>
      <protection/>
    </xf>
    <xf numFmtId="3" fontId="11" fillId="0" borderId="24" xfId="0" applyNumberFormat="1" applyFont="1" applyFill="1" applyBorder="1" applyAlignment="1">
      <alignment horizontal="right" vertical="top" wrapText="1"/>
    </xf>
    <xf numFmtId="0" fontId="13" fillId="0" borderId="24" xfId="96" applyFont="1" applyFill="1" applyBorder="1" applyAlignment="1">
      <alignment horizontal="left" vertical="top" wrapText="1"/>
      <protection/>
    </xf>
    <xf numFmtId="3" fontId="13" fillId="0" borderId="24" xfId="96" applyNumberFormat="1" applyFont="1" applyFill="1" applyBorder="1" applyAlignment="1">
      <alignment horizontal="right" vertical="top" wrapText="1"/>
      <protection/>
    </xf>
    <xf numFmtId="3" fontId="13" fillId="0" borderId="24" xfId="0" applyNumberFormat="1" applyFont="1" applyFill="1" applyBorder="1" applyAlignment="1">
      <alignment horizontal="right" vertical="top" wrapText="1"/>
    </xf>
    <xf numFmtId="0" fontId="19" fillId="0" borderId="0" xfId="99">
      <alignment/>
      <protection/>
    </xf>
    <xf numFmtId="0" fontId="71" fillId="0" borderId="0" xfId="109" applyFont="1" applyAlignment="1">
      <alignment horizontal="center"/>
      <protection/>
    </xf>
    <xf numFmtId="0" fontId="112" fillId="0" borderId="99" xfId="109" applyFont="1" applyBorder="1" applyAlignment="1">
      <alignment horizontal="center" vertical="center" wrapText="1"/>
      <protection/>
    </xf>
    <xf numFmtId="0" fontId="112" fillId="0" borderId="100" xfId="109" applyFont="1" applyBorder="1" applyAlignment="1">
      <alignment horizontal="center" vertical="center" wrapText="1"/>
      <protection/>
    </xf>
    <xf numFmtId="0" fontId="76" fillId="0" borderId="0" xfId="109" applyAlignment="1">
      <alignment horizontal="center" vertical="center"/>
      <protection/>
    </xf>
    <xf numFmtId="0" fontId="111" fillId="0" borderId="101" xfId="109" applyFont="1" applyBorder="1" applyAlignment="1">
      <alignment vertical="center" wrapText="1"/>
      <protection/>
    </xf>
    <xf numFmtId="183" fontId="28" fillId="0" borderId="102" xfId="108" applyNumberFormat="1" applyFont="1" applyBorder="1" applyAlignment="1">
      <alignment horizontal="center" vertical="center"/>
      <protection/>
    </xf>
    <xf numFmtId="184" fontId="111" fillId="0" borderId="102" xfId="109" applyNumberFormat="1" applyFont="1" applyBorder="1" applyAlignment="1" applyProtection="1">
      <alignment horizontal="right" vertical="center" wrapText="1"/>
      <protection locked="0"/>
    </xf>
    <xf numFmtId="0" fontId="76" fillId="0" borderId="0" xfId="109" applyAlignment="1">
      <alignment vertical="center"/>
      <protection/>
    </xf>
    <xf numFmtId="0" fontId="113" fillId="0" borderId="103" xfId="109" applyFont="1" applyBorder="1" applyAlignment="1">
      <alignment horizontal="left" vertical="center" wrapText="1" indent="1"/>
      <protection/>
    </xf>
    <xf numFmtId="183" fontId="59" fillId="0" borderId="104" xfId="108" applyNumberFormat="1" applyBorder="1" applyAlignment="1">
      <alignment horizontal="center" vertical="center"/>
      <protection/>
    </xf>
    <xf numFmtId="184" fontId="71" fillId="0" borderId="104" xfId="109" applyNumberFormat="1" applyFont="1" applyBorder="1" applyAlignment="1" applyProtection="1">
      <alignment horizontal="right" vertical="center" wrapText="1"/>
      <protection locked="0"/>
    </xf>
    <xf numFmtId="0" fontId="111" fillId="0" borderId="103" xfId="109" applyFont="1" applyBorder="1" applyAlignment="1">
      <alignment vertical="center" wrapText="1"/>
      <protection/>
    </xf>
    <xf numFmtId="183" fontId="28" fillId="0" borderId="104" xfId="108" applyNumberFormat="1" applyFont="1" applyBorder="1" applyAlignment="1">
      <alignment horizontal="center" vertical="center"/>
      <protection/>
    </xf>
    <xf numFmtId="184" fontId="111" fillId="0" borderId="104" xfId="109" applyNumberFormat="1" applyFont="1" applyBorder="1" applyAlignment="1">
      <alignment horizontal="right" vertical="center" wrapText="1"/>
      <protection/>
    </xf>
    <xf numFmtId="184" fontId="71" fillId="0" borderId="104" xfId="109" applyNumberFormat="1" applyFont="1" applyBorder="1" applyAlignment="1">
      <alignment horizontal="right" vertical="center" wrapText="1"/>
      <protection/>
    </xf>
    <xf numFmtId="184" fontId="71" fillId="54" borderId="104" xfId="109" applyNumberFormat="1" applyFont="1" applyFill="1" applyBorder="1" applyAlignment="1" applyProtection="1">
      <alignment horizontal="right" vertical="center" wrapText="1"/>
      <protection locked="0"/>
    </xf>
    <xf numFmtId="0" fontId="76" fillId="0" borderId="0" xfId="109">
      <alignment/>
      <protection/>
    </xf>
    <xf numFmtId="184" fontId="111" fillId="0" borderId="104" xfId="109" applyNumberFormat="1" applyFont="1" applyBorder="1" applyAlignment="1" applyProtection="1">
      <alignment horizontal="right" vertical="center" wrapText="1"/>
      <protection locked="0"/>
    </xf>
    <xf numFmtId="184" fontId="111" fillId="55" borderId="104" xfId="109" applyNumberFormat="1" applyFont="1" applyFill="1" applyBorder="1" applyAlignment="1" applyProtection="1">
      <alignment horizontal="right" vertical="center" wrapText="1"/>
      <protection locked="0"/>
    </xf>
    <xf numFmtId="184" fontId="111" fillId="55" borderId="104" xfId="109" applyNumberFormat="1" applyFont="1" applyFill="1" applyBorder="1" applyAlignment="1">
      <alignment horizontal="right" vertical="center" wrapText="1"/>
      <protection/>
    </xf>
    <xf numFmtId="0" fontId="111" fillId="0" borderId="99" xfId="109" applyFont="1" applyBorder="1" applyAlignment="1">
      <alignment vertical="center" wrapText="1"/>
      <protection/>
    </xf>
    <xf numFmtId="184" fontId="111" fillId="0" borderId="100" xfId="109" applyNumberFormat="1" applyFont="1" applyBorder="1" applyAlignment="1">
      <alignment horizontal="right" vertical="center" wrapText="1"/>
      <protection/>
    </xf>
    <xf numFmtId="0" fontId="71" fillId="0" borderId="0" xfId="109" applyFont="1">
      <alignment/>
      <protection/>
    </xf>
    <xf numFmtId="184" fontId="71" fillId="0" borderId="0" xfId="109" applyNumberFormat="1" applyFont="1">
      <alignment/>
      <protection/>
    </xf>
    <xf numFmtId="3" fontId="76" fillId="0" borderId="0" xfId="109" applyNumberFormat="1">
      <alignment/>
      <protection/>
    </xf>
    <xf numFmtId="49" fontId="53" fillId="0" borderId="23" xfId="108" applyNumberFormat="1" applyFont="1" applyBorder="1" applyAlignment="1">
      <alignment horizontal="center" vertical="center" wrapText="1"/>
      <protection/>
    </xf>
    <xf numFmtId="49" fontId="53" fillId="0" borderId="20" xfId="108" applyNumberFormat="1" applyFont="1" applyBorder="1" applyAlignment="1">
      <alignment horizontal="center" vertical="center"/>
      <protection/>
    </xf>
    <xf numFmtId="49" fontId="53" fillId="0" borderId="21" xfId="108" applyNumberFormat="1" applyFont="1" applyBorder="1" applyAlignment="1">
      <alignment horizontal="center" vertical="center"/>
      <protection/>
    </xf>
    <xf numFmtId="0" fontId="54" fillId="0" borderId="19" xfId="109" applyFont="1" applyBorder="1" applyAlignment="1">
      <alignment vertical="center" wrapText="1"/>
      <protection/>
    </xf>
    <xf numFmtId="183" fontId="45" fillId="0" borderId="41" xfId="108" applyNumberFormat="1" applyFont="1" applyBorder="1" applyAlignment="1">
      <alignment horizontal="center" vertical="center"/>
      <protection/>
    </xf>
    <xf numFmtId="185" fontId="45" fillId="0" borderId="58" xfId="108" applyNumberFormat="1" applyFont="1" applyBorder="1" applyAlignment="1" applyProtection="1">
      <alignment vertical="center"/>
      <protection locked="0"/>
    </xf>
    <xf numFmtId="183" fontId="45" fillId="0" borderId="24" xfId="108" applyNumberFormat="1" applyFont="1" applyBorder="1" applyAlignment="1">
      <alignment horizontal="center" vertical="center"/>
      <protection/>
    </xf>
    <xf numFmtId="185" fontId="45" fillId="0" borderId="25" xfId="108" applyNumberFormat="1" applyFont="1" applyBorder="1" applyAlignment="1" applyProtection="1">
      <alignment vertical="center"/>
      <protection locked="0"/>
    </xf>
    <xf numFmtId="183" fontId="53" fillId="0" borderId="24" xfId="108" applyNumberFormat="1" applyFont="1" applyBorder="1" applyAlignment="1">
      <alignment horizontal="center" vertical="center"/>
      <protection/>
    </xf>
    <xf numFmtId="185" fontId="53" fillId="0" borderId="25" xfId="108" applyNumberFormat="1" applyFont="1" applyBorder="1" applyAlignment="1">
      <alignment vertical="center"/>
      <protection/>
    </xf>
    <xf numFmtId="185" fontId="45" fillId="0" borderId="25" xfId="108" applyNumberFormat="1" applyFont="1" applyBorder="1" applyAlignment="1" applyProtection="1">
      <alignment vertical="center"/>
      <protection locked="0"/>
    </xf>
    <xf numFmtId="185" fontId="53" fillId="0" borderId="25" xfId="108" applyNumberFormat="1" applyFont="1" applyBorder="1" applyAlignment="1" applyProtection="1">
      <alignment vertical="center"/>
      <protection locked="0"/>
    </xf>
    <xf numFmtId="0" fontId="53" fillId="0" borderId="23" xfId="108" applyFont="1" applyBorder="1" applyAlignment="1">
      <alignment horizontal="left" vertical="center" wrapText="1"/>
      <protection/>
    </xf>
    <xf numFmtId="183" fontId="53" fillId="0" borderId="20" xfId="108" applyNumberFormat="1" applyFont="1" applyBorder="1" applyAlignment="1">
      <alignment horizontal="center" vertical="center"/>
      <protection/>
    </xf>
    <xf numFmtId="185" fontId="53" fillId="0" borderId="21" xfId="108" applyNumberFormat="1" applyFont="1" applyBorder="1" applyAlignment="1">
      <alignment vertical="center"/>
      <protection/>
    </xf>
    <xf numFmtId="0" fontId="76" fillId="0" borderId="0" xfId="109" applyAlignment="1">
      <alignment horizontal="center"/>
      <protection/>
    </xf>
    <xf numFmtId="0" fontId="26" fillId="0" borderId="0" xfId="99" applyFont="1">
      <alignment/>
      <protection/>
    </xf>
    <xf numFmtId="0" fontId="114" fillId="0" borderId="99" xfId="109" applyFont="1" applyBorder="1" applyAlignment="1">
      <alignment horizontal="center" vertical="center" wrapText="1"/>
      <protection/>
    </xf>
    <xf numFmtId="0" fontId="114" fillId="0" borderId="100" xfId="109" applyFont="1" applyBorder="1" applyAlignment="1">
      <alignment horizontal="center" vertical="center" wrapText="1"/>
      <protection/>
    </xf>
    <xf numFmtId="0" fontId="69" fillId="0" borderId="101" xfId="109" applyFont="1" applyBorder="1" applyAlignment="1">
      <alignment vertical="center" wrapText="1"/>
      <protection/>
    </xf>
    <xf numFmtId="183" fontId="46" fillId="0" borderId="102" xfId="108" applyNumberFormat="1" applyFont="1" applyBorder="1" applyAlignment="1">
      <alignment horizontal="center" vertical="center"/>
      <protection/>
    </xf>
    <xf numFmtId="184" fontId="69" fillId="0" borderId="102" xfId="109" applyNumberFormat="1" applyFont="1" applyBorder="1" applyAlignment="1" applyProtection="1">
      <alignment horizontal="right" vertical="center" wrapText="1"/>
      <protection locked="0"/>
    </xf>
    <xf numFmtId="0" fontId="115" fillId="0" borderId="103" xfId="109" applyFont="1" applyBorder="1" applyAlignment="1">
      <alignment horizontal="left" vertical="center" wrapText="1" indent="1"/>
      <protection/>
    </xf>
    <xf numFmtId="183" fontId="30" fillId="0" borderId="104" xfId="108" applyNumberFormat="1" applyFont="1" applyBorder="1" applyAlignment="1">
      <alignment horizontal="center" vertical="center"/>
      <protection/>
    </xf>
    <xf numFmtId="184" fontId="76" fillId="0" borderId="104" xfId="109" applyNumberFormat="1" applyBorder="1" applyAlignment="1" applyProtection="1">
      <alignment horizontal="right" vertical="center" wrapText="1"/>
      <protection locked="0"/>
    </xf>
    <xf numFmtId="0" fontId="69" fillId="0" borderId="103" xfId="109" applyFont="1" applyBorder="1" applyAlignment="1">
      <alignment vertical="center" wrapText="1"/>
      <protection/>
    </xf>
    <xf numFmtId="183" fontId="46" fillId="0" borderId="104" xfId="108" applyNumberFormat="1" applyFont="1" applyBorder="1" applyAlignment="1">
      <alignment horizontal="center" vertical="center"/>
      <protection/>
    </xf>
    <xf numFmtId="184" fontId="69" fillId="0" borderId="104" xfId="109" applyNumberFormat="1" applyFont="1" applyBorder="1" applyAlignment="1">
      <alignment horizontal="right" vertical="center" wrapText="1"/>
      <protection/>
    </xf>
    <xf numFmtId="184" fontId="69" fillId="0" borderId="104" xfId="109" applyNumberFormat="1" applyFont="1" applyBorder="1" applyAlignment="1">
      <alignment horizontal="right" vertical="center" wrapText="1"/>
      <protection/>
    </xf>
    <xf numFmtId="184" fontId="76" fillId="0" borderId="104" xfId="109" applyNumberFormat="1" applyBorder="1" applyAlignment="1">
      <alignment horizontal="right" vertical="center" wrapText="1"/>
      <protection/>
    </xf>
    <xf numFmtId="184" fontId="69" fillId="0" borderId="104" xfId="109" applyNumberFormat="1" applyFont="1" applyBorder="1" applyAlignment="1" applyProtection="1">
      <alignment horizontal="right" vertical="center" wrapText="1"/>
      <protection locked="0"/>
    </xf>
    <xf numFmtId="184" fontId="69" fillId="55" borderId="104" xfId="109" applyNumberFormat="1" applyFont="1" applyFill="1" applyBorder="1" applyAlignment="1" applyProtection="1">
      <alignment horizontal="right" vertical="center" wrapText="1"/>
      <protection locked="0"/>
    </xf>
    <xf numFmtId="184" fontId="69" fillId="55" borderId="104" xfId="109" applyNumberFormat="1" applyFont="1" applyFill="1" applyBorder="1" applyAlignment="1">
      <alignment horizontal="right" vertical="center" wrapText="1"/>
      <protection/>
    </xf>
    <xf numFmtId="0" fontId="69" fillId="0" borderId="99" xfId="109" applyFont="1" applyBorder="1" applyAlignment="1">
      <alignment vertical="center" wrapText="1"/>
      <protection/>
    </xf>
    <xf numFmtId="184" fontId="69" fillId="0" borderId="100" xfId="109" applyNumberFormat="1" applyFont="1" applyBorder="1" applyAlignment="1">
      <alignment horizontal="right" vertical="center" wrapText="1"/>
      <protection/>
    </xf>
    <xf numFmtId="0" fontId="116" fillId="0" borderId="0" xfId="109" applyFont="1">
      <alignment/>
      <protection/>
    </xf>
    <xf numFmtId="0" fontId="117" fillId="0" borderId="0" xfId="99" applyFont="1">
      <alignment/>
      <protection/>
    </xf>
    <xf numFmtId="0" fontId="118" fillId="0" borderId="0" xfId="109" applyFont="1">
      <alignment/>
      <protection/>
    </xf>
    <xf numFmtId="0" fontId="118" fillId="0" borderId="0" xfId="109" applyFont="1" applyAlignment="1">
      <alignment horizontal="center"/>
      <protection/>
    </xf>
    <xf numFmtId="0" fontId="78" fillId="0" borderId="105" xfId="109" applyFont="1" applyBorder="1" applyAlignment="1">
      <alignment horizontal="center" vertical="center"/>
      <protection/>
    </xf>
    <xf numFmtId="0" fontId="119" fillId="0" borderId="106" xfId="108" applyFont="1" applyBorder="1" applyAlignment="1">
      <alignment horizontal="center" vertical="center" textRotation="90"/>
      <protection/>
    </xf>
    <xf numFmtId="0" fontId="78" fillId="0" borderId="106" xfId="109" applyFont="1" applyBorder="1" applyAlignment="1">
      <alignment horizontal="center" vertical="center" wrapText="1"/>
      <protection/>
    </xf>
    <xf numFmtId="0" fontId="78" fillId="0" borderId="107" xfId="109" applyFont="1" applyBorder="1" applyAlignment="1">
      <alignment horizontal="center" vertical="center" wrapText="1"/>
      <protection/>
    </xf>
    <xf numFmtId="0" fontId="78" fillId="0" borderId="108" xfId="109" applyFont="1" applyBorder="1" applyAlignment="1">
      <alignment horizontal="center" vertical="center" wrapText="1"/>
      <protection/>
    </xf>
    <xf numFmtId="0" fontId="78" fillId="0" borderId="109" xfId="109" applyFont="1" applyBorder="1" applyAlignment="1">
      <alignment horizontal="center" vertical="center"/>
      <protection/>
    </xf>
    <xf numFmtId="0" fontId="78" fillId="0" borderId="110" xfId="109" applyFont="1" applyBorder="1" applyAlignment="1">
      <alignment horizontal="center" vertical="center" wrapText="1"/>
      <protection/>
    </xf>
    <xf numFmtId="0" fontId="78" fillId="0" borderId="111" xfId="109" applyFont="1" applyBorder="1" applyAlignment="1">
      <alignment horizontal="center" vertical="center" wrapText="1"/>
      <protection/>
    </xf>
    <xf numFmtId="0" fontId="118" fillId="0" borderId="112" xfId="109" applyFont="1" applyBorder="1">
      <alignment/>
      <protection/>
    </xf>
    <xf numFmtId="0" fontId="118" fillId="0" borderId="103" xfId="109" applyFont="1" applyBorder="1" applyProtection="1">
      <alignment/>
      <protection locked="0"/>
    </xf>
    <xf numFmtId="0" fontId="118" fillId="0" borderId="113" xfId="109" applyFont="1" applyBorder="1" applyAlignment="1">
      <alignment horizontal="right" indent="1"/>
      <protection/>
    </xf>
    <xf numFmtId="3" fontId="118" fillId="0" borderId="113" xfId="109" applyNumberFormat="1" applyFont="1" applyBorder="1" applyProtection="1">
      <alignment/>
      <protection locked="0"/>
    </xf>
    <xf numFmtId="3" fontId="164" fillId="0" borderId="0" xfId="95" applyNumberFormat="1" applyFont="1">
      <alignment/>
      <protection/>
    </xf>
    <xf numFmtId="3" fontId="118" fillId="0" borderId="114" xfId="109" applyNumberFormat="1" applyFont="1" applyBorder="1">
      <alignment/>
      <protection/>
    </xf>
    <xf numFmtId="0" fontId="118" fillId="0" borderId="104" xfId="109" applyFont="1" applyBorder="1" applyAlignment="1">
      <alignment horizontal="right" indent="1"/>
      <protection/>
    </xf>
    <xf numFmtId="3" fontId="118" fillId="0" borderId="104" xfId="109" applyNumberFormat="1" applyFont="1" applyBorder="1" applyProtection="1">
      <alignment/>
      <protection locked="0"/>
    </xf>
    <xf numFmtId="3" fontId="118" fillId="0" borderId="115" xfId="109" applyNumberFormat="1" applyFont="1" applyBorder="1" applyProtection="1">
      <alignment/>
      <protection locked="0"/>
    </xf>
    <xf numFmtId="3" fontId="118" fillId="0" borderId="116" xfId="109" applyNumberFormat="1" applyFont="1" applyBorder="1">
      <alignment/>
      <protection/>
    </xf>
    <xf numFmtId="0" fontId="118" fillId="0" borderId="117" xfId="109" applyFont="1" applyBorder="1" applyProtection="1">
      <alignment/>
      <protection locked="0"/>
    </xf>
    <xf numFmtId="0" fontId="118" fillId="0" borderId="118" xfId="109" applyFont="1" applyBorder="1" applyAlignment="1">
      <alignment horizontal="right" indent="1"/>
      <protection/>
    </xf>
    <xf numFmtId="3" fontId="118" fillId="0" borderId="118" xfId="109" applyNumberFormat="1" applyFont="1" applyBorder="1" applyProtection="1">
      <alignment/>
      <protection locked="0"/>
    </xf>
    <xf numFmtId="3" fontId="118" fillId="0" borderId="119" xfId="109" applyNumberFormat="1" applyFont="1" applyBorder="1" applyProtection="1">
      <alignment/>
      <protection locked="0"/>
    </xf>
    <xf numFmtId="3" fontId="118" fillId="0" borderId="120" xfId="109" applyNumberFormat="1" applyFont="1" applyBorder="1">
      <alignment/>
      <protection/>
    </xf>
    <xf numFmtId="0" fontId="78" fillId="0" borderId="109" xfId="109" applyFont="1" applyBorder="1" applyProtection="1">
      <alignment/>
      <protection locked="0"/>
    </xf>
    <xf numFmtId="0" fontId="78" fillId="0" borderId="110" xfId="109" applyFont="1" applyBorder="1" applyAlignment="1">
      <alignment horizontal="right" indent="1"/>
      <protection/>
    </xf>
    <xf numFmtId="3" fontId="78" fillId="0" borderId="110" xfId="109" applyNumberFormat="1" applyFont="1" applyBorder="1" applyProtection="1">
      <alignment/>
      <protection locked="0"/>
    </xf>
    <xf numFmtId="3" fontId="78" fillId="0" borderId="112" xfId="109" applyNumberFormat="1" applyFont="1" applyBorder="1">
      <alignment/>
      <protection/>
    </xf>
    <xf numFmtId="0" fontId="118" fillId="0" borderId="121" xfId="109" applyFont="1" applyBorder="1" applyProtection="1">
      <alignment/>
      <protection locked="0"/>
    </xf>
    <xf numFmtId="3" fontId="118" fillId="0" borderId="122" xfId="109" applyNumberFormat="1" applyFont="1" applyBorder="1" applyProtection="1">
      <alignment/>
      <protection locked="0"/>
    </xf>
    <xf numFmtId="0" fontId="118" fillId="0" borderId="116" xfId="109" applyFont="1" applyBorder="1">
      <alignment/>
      <protection/>
    </xf>
    <xf numFmtId="0" fontId="118" fillId="0" borderId="120" xfId="109" applyFont="1" applyBorder="1">
      <alignment/>
      <protection/>
    </xf>
    <xf numFmtId="0" fontId="118" fillId="0" borderId="110" xfId="109" applyFont="1" applyBorder="1" applyAlignment="1">
      <alignment horizontal="right" indent="1"/>
      <protection/>
    </xf>
    <xf numFmtId="3" fontId="118" fillId="0" borderId="110" xfId="109" applyNumberFormat="1" applyFont="1" applyBorder="1" applyProtection="1">
      <alignment/>
      <protection locked="0"/>
    </xf>
    <xf numFmtId="186" fontId="63" fillId="0" borderId="111" xfId="108" applyNumberFormat="1" applyFont="1" applyBorder="1" applyAlignment="1">
      <alignment vertical="center"/>
      <protection/>
    </xf>
    <xf numFmtId="0" fontId="118" fillId="0" borderId="114" xfId="109" applyFont="1" applyBorder="1">
      <alignment/>
      <protection/>
    </xf>
    <xf numFmtId="3" fontId="118" fillId="0" borderId="123" xfId="109" applyNumberFormat="1" applyFont="1" applyBorder="1">
      <alignment/>
      <protection/>
    </xf>
    <xf numFmtId="187" fontId="63" fillId="0" borderId="111" xfId="108" applyNumberFormat="1" applyFont="1" applyBorder="1" applyAlignment="1">
      <alignment vertical="center"/>
      <protection/>
    </xf>
    <xf numFmtId="186" fontId="63" fillId="0" borderId="112" xfId="108" applyNumberFormat="1" applyFont="1" applyBorder="1" applyAlignment="1">
      <alignment vertical="center"/>
      <protection/>
    </xf>
    <xf numFmtId="0" fontId="78" fillId="0" borderId="0" xfId="109" applyFont="1">
      <alignment/>
      <protection/>
    </xf>
    <xf numFmtId="0" fontId="69" fillId="0" borderId="105" xfId="109" applyFont="1" applyBorder="1" applyAlignment="1">
      <alignment horizontal="center" vertical="center"/>
      <protection/>
    </xf>
    <xf numFmtId="0" fontId="62" fillId="0" borderId="106" xfId="108" applyFont="1" applyBorder="1" applyAlignment="1">
      <alignment horizontal="center" vertical="center" textRotation="90"/>
      <protection/>
    </xf>
    <xf numFmtId="0" fontId="69" fillId="0" borderId="106" xfId="109" applyFont="1" applyBorder="1" applyAlignment="1">
      <alignment horizontal="center" vertical="center" wrapText="1"/>
      <protection/>
    </xf>
    <xf numFmtId="0" fontId="69" fillId="0" borderId="107" xfId="109" applyFont="1" applyBorder="1" applyAlignment="1">
      <alignment horizontal="center" vertical="center" wrapText="1"/>
      <protection/>
    </xf>
    <xf numFmtId="0" fontId="69" fillId="0" borderId="108" xfId="109" applyFont="1" applyBorder="1" applyAlignment="1">
      <alignment horizontal="center" vertical="center" wrapText="1"/>
      <protection/>
    </xf>
    <xf numFmtId="0" fontId="69" fillId="0" borderId="109" xfId="109" applyFont="1" applyBorder="1" applyAlignment="1">
      <alignment horizontal="center" vertical="center"/>
      <protection/>
    </xf>
    <xf numFmtId="0" fontId="69" fillId="0" borderId="110" xfId="109" applyFont="1" applyBorder="1" applyAlignment="1">
      <alignment horizontal="center" vertical="center" wrapText="1"/>
      <protection/>
    </xf>
    <xf numFmtId="0" fontId="69" fillId="0" borderId="111" xfId="109" applyFont="1" applyBorder="1" applyAlignment="1">
      <alignment horizontal="center" vertical="center" wrapText="1"/>
      <protection/>
    </xf>
    <xf numFmtId="0" fontId="76" fillId="0" borderId="112" xfId="109" applyBorder="1">
      <alignment/>
      <protection/>
    </xf>
    <xf numFmtId="0" fontId="76" fillId="0" borderId="103" xfId="109" applyBorder="1" applyProtection="1">
      <alignment/>
      <protection locked="0"/>
    </xf>
    <xf numFmtId="0" fontId="76" fillId="0" borderId="113" xfId="109" applyBorder="1" applyAlignment="1">
      <alignment horizontal="right" indent="1"/>
      <protection/>
    </xf>
    <xf numFmtId="3" fontId="76" fillId="0" borderId="113" xfId="109" applyNumberFormat="1" applyBorder="1" applyProtection="1">
      <alignment/>
      <protection locked="0"/>
    </xf>
    <xf numFmtId="3" fontId="165" fillId="0" borderId="0" xfId="95" applyNumberFormat="1" applyFont="1">
      <alignment/>
      <protection/>
    </xf>
    <xf numFmtId="3" fontId="76" fillId="0" borderId="114" xfId="109" applyNumberFormat="1" applyBorder="1">
      <alignment/>
      <protection/>
    </xf>
    <xf numFmtId="0" fontId="76" fillId="0" borderId="104" xfId="109" applyBorder="1" applyAlignment="1">
      <alignment horizontal="center" indent="1"/>
      <protection/>
    </xf>
    <xf numFmtId="3" fontId="76" fillId="0" borderId="104" xfId="109" applyNumberFormat="1" applyBorder="1" applyProtection="1">
      <alignment/>
      <protection locked="0"/>
    </xf>
    <xf numFmtId="3" fontId="76" fillId="0" borderId="115" xfId="109" applyNumberFormat="1" applyBorder="1" applyProtection="1">
      <alignment/>
      <protection locked="0"/>
    </xf>
    <xf numFmtId="3" fontId="76" fillId="0" borderId="116" xfId="109" applyNumberFormat="1" applyBorder="1">
      <alignment/>
      <protection/>
    </xf>
    <xf numFmtId="0" fontId="76" fillId="0" borderId="113" xfId="109" applyBorder="1" applyAlignment="1">
      <alignment horizontal="center" indent="1"/>
      <protection/>
    </xf>
    <xf numFmtId="0" fontId="76" fillId="0" borderId="117" xfId="109" applyBorder="1" applyProtection="1">
      <alignment/>
      <protection locked="0"/>
    </xf>
    <xf numFmtId="0" fontId="76" fillId="0" borderId="118" xfId="109" applyBorder="1" applyAlignment="1">
      <alignment horizontal="right" indent="1"/>
      <protection/>
    </xf>
    <xf numFmtId="3" fontId="76" fillId="0" borderId="118" xfId="109" applyNumberFormat="1" applyBorder="1" applyProtection="1">
      <alignment/>
      <protection locked="0"/>
    </xf>
    <xf numFmtId="3" fontId="76" fillId="0" borderId="119" xfId="109" applyNumberFormat="1" applyBorder="1" applyProtection="1">
      <alignment/>
      <protection locked="0"/>
    </xf>
    <xf numFmtId="3" fontId="76" fillId="0" borderId="120" xfId="109" applyNumberFormat="1" applyBorder="1">
      <alignment/>
      <protection/>
    </xf>
    <xf numFmtId="0" fontId="69" fillId="0" borderId="109" xfId="109" applyFont="1" applyBorder="1" applyProtection="1">
      <alignment/>
      <protection locked="0"/>
    </xf>
    <xf numFmtId="0" fontId="69" fillId="0" borderId="110" xfId="109" applyFont="1" applyBorder="1" applyAlignment="1">
      <alignment horizontal="right" indent="1"/>
      <protection/>
    </xf>
    <xf numFmtId="3" fontId="69" fillId="0" borderId="110" xfId="109" applyNumberFormat="1" applyFont="1" applyBorder="1" applyProtection="1">
      <alignment/>
      <protection locked="0"/>
    </xf>
    <xf numFmtId="3" fontId="46" fillId="0" borderId="111" xfId="108" applyNumberFormat="1" applyFont="1" applyBorder="1" applyAlignment="1">
      <alignment horizontal="right" vertical="center"/>
      <protection/>
    </xf>
    <xf numFmtId="3" fontId="69" fillId="0" borderId="112" xfId="109" applyNumberFormat="1" applyFont="1" applyBorder="1">
      <alignment/>
      <protection/>
    </xf>
    <xf numFmtId="0" fontId="76" fillId="0" borderId="121" xfId="109" applyBorder="1" applyProtection="1">
      <alignment/>
      <protection locked="0"/>
    </xf>
    <xf numFmtId="3" fontId="76" fillId="0" borderId="122" xfId="109" applyNumberFormat="1" applyBorder="1" applyProtection="1">
      <alignment/>
      <protection locked="0"/>
    </xf>
    <xf numFmtId="0" fontId="76" fillId="0" borderId="104" xfId="109" applyBorder="1" applyAlignment="1">
      <alignment horizontal="right" indent="1"/>
      <protection/>
    </xf>
    <xf numFmtId="0" fontId="76" fillId="0" borderId="116" xfId="109" applyBorder="1">
      <alignment/>
      <protection/>
    </xf>
    <xf numFmtId="0" fontId="76" fillId="0" borderId="120" xfId="109" applyBorder="1">
      <alignment/>
      <protection/>
    </xf>
    <xf numFmtId="0" fontId="76" fillId="0" borderId="110" xfId="109" applyBorder="1" applyAlignment="1">
      <alignment horizontal="right" indent="1"/>
      <protection/>
    </xf>
    <xf numFmtId="3" fontId="76" fillId="0" borderId="110" xfId="109" applyNumberFormat="1" applyBorder="1" applyProtection="1">
      <alignment/>
      <protection locked="0"/>
    </xf>
    <xf numFmtId="186" fontId="46" fillId="0" borderId="111" xfId="108" applyNumberFormat="1" applyFont="1" applyBorder="1" applyAlignment="1">
      <alignment vertical="center"/>
      <protection/>
    </xf>
    <xf numFmtId="0" fontId="76" fillId="0" borderId="114" xfId="109" applyBorder="1">
      <alignment/>
      <protection/>
    </xf>
    <xf numFmtId="3" fontId="76" fillId="0" borderId="123" xfId="109" applyNumberFormat="1" applyBorder="1">
      <alignment/>
      <protection/>
    </xf>
    <xf numFmtId="187" fontId="46" fillId="0" borderId="111" xfId="108" applyNumberFormat="1" applyFont="1" applyBorder="1" applyAlignment="1">
      <alignment vertical="center"/>
      <protection/>
    </xf>
    <xf numFmtId="186" fontId="46" fillId="0" borderId="112" xfId="108" applyNumberFormat="1" applyFont="1" applyBorder="1" applyAlignment="1">
      <alignment vertical="center"/>
      <protection/>
    </xf>
    <xf numFmtId="0" fontId="120" fillId="0" borderId="0" xfId="109" applyFont="1">
      <alignment/>
      <protection/>
    </xf>
    <xf numFmtId="3" fontId="76" fillId="54" borderId="0" xfId="99" applyNumberFormat="1" applyFont="1" applyFill="1">
      <alignment/>
      <protection/>
    </xf>
    <xf numFmtId="0" fontId="29" fillId="0" borderId="0" xfId="106" applyFont="1">
      <alignment/>
      <protection/>
    </xf>
    <xf numFmtId="0" fontId="29" fillId="0" borderId="0" xfId="106" applyFont="1" applyAlignment="1">
      <alignment vertical="center" wrapText="1"/>
      <protection/>
    </xf>
    <xf numFmtId="169" fontId="122" fillId="0" borderId="0" xfId="106" applyNumberFormat="1" applyFont="1" applyAlignment="1">
      <alignment vertical="center" wrapText="1"/>
      <protection/>
    </xf>
    <xf numFmtId="169" fontId="27" fillId="0" borderId="0" xfId="106" applyNumberFormat="1" applyFont="1" applyAlignment="1">
      <alignment horizontal="centerContinuous" vertical="center"/>
      <protection/>
    </xf>
    <xf numFmtId="169" fontId="27" fillId="0" borderId="0" xfId="106" applyNumberFormat="1" applyFont="1" applyAlignment="1">
      <alignment horizontal="centerContinuous" vertical="center" wrapText="1"/>
      <protection/>
    </xf>
    <xf numFmtId="0" fontId="42" fillId="0" borderId="0" xfId="0" applyFont="1" applyAlignment="1">
      <alignment/>
    </xf>
    <xf numFmtId="0" fontId="46" fillId="0" borderId="0" xfId="106" applyFont="1" applyAlignment="1">
      <alignment vertical="center" wrapText="1"/>
      <protection/>
    </xf>
    <xf numFmtId="0" fontId="46" fillId="0" borderId="28" xfId="106" applyFont="1" applyBorder="1" applyAlignment="1">
      <alignment horizontal="center" vertical="center" wrapText="1"/>
      <protection/>
    </xf>
    <xf numFmtId="0" fontId="30" fillId="0" borderId="43" xfId="106" applyBorder="1" applyAlignment="1">
      <alignment horizontal="center" vertical="center"/>
      <protection/>
    </xf>
    <xf numFmtId="0" fontId="30" fillId="0" borderId="27" xfId="106" applyBorder="1" applyAlignment="1">
      <alignment horizontal="center" vertical="center" wrapText="1"/>
      <protection/>
    </xf>
    <xf numFmtId="0" fontId="30" fillId="0" borderId="27" xfId="106" applyBorder="1" applyAlignment="1">
      <alignment horizontal="center" vertical="center"/>
      <protection/>
    </xf>
    <xf numFmtId="0" fontId="30" fillId="0" borderId="44" xfId="106" applyBorder="1" applyAlignment="1">
      <alignment horizontal="center" vertical="center"/>
      <protection/>
    </xf>
    <xf numFmtId="0" fontId="30" fillId="0" borderId="22" xfId="106" applyBorder="1" applyAlignment="1">
      <alignment horizontal="center" vertical="center"/>
      <protection/>
    </xf>
    <xf numFmtId="0" fontId="14" fillId="0" borderId="46" xfId="0" applyFont="1" applyBorder="1" applyAlignment="1">
      <alignment vertical="center"/>
    </xf>
    <xf numFmtId="3" fontId="15" fillId="0" borderId="46" xfId="0" applyNumberFormat="1" applyFont="1" applyBorder="1" applyAlignment="1">
      <alignment horizontal="right" vertical="center"/>
    </xf>
    <xf numFmtId="170" fontId="30" fillId="0" borderId="47" xfId="68" applyNumberFormat="1" applyFont="1" applyBorder="1" applyAlignment="1" applyProtection="1">
      <alignment horizontal="right" vertical="center"/>
      <protection locked="0"/>
    </xf>
    <xf numFmtId="3" fontId="29" fillId="0" borderId="0" xfId="106" applyNumberFormat="1" applyFont="1">
      <alignment/>
      <protection/>
    </xf>
    <xf numFmtId="0" fontId="30" fillId="0" borderId="19" xfId="106" applyBorder="1" applyAlignment="1">
      <alignment horizontal="center" vertical="center"/>
      <protection/>
    </xf>
    <xf numFmtId="0" fontId="14" fillId="0" borderId="97" xfId="0" applyFont="1" applyBorder="1" applyAlignment="1">
      <alignment vertical="center"/>
    </xf>
    <xf numFmtId="3" fontId="15" fillId="0" borderId="24" xfId="103" applyNumberFormat="1" applyFont="1" applyBorder="1" applyAlignment="1">
      <alignment horizontal="right" vertical="center"/>
      <protection/>
    </xf>
    <xf numFmtId="170" fontId="30" fillId="0" borderId="24" xfId="68" applyNumberFormat="1" applyFont="1" applyBorder="1" applyAlignment="1" applyProtection="1">
      <alignment horizontal="right" vertical="center"/>
      <protection locked="0"/>
    </xf>
    <xf numFmtId="170" fontId="30" fillId="0" borderId="25" xfId="68" applyNumberFormat="1" applyFont="1" applyBorder="1" applyAlignment="1" applyProtection="1">
      <alignment horizontal="right" vertical="center"/>
      <protection locked="0"/>
    </xf>
    <xf numFmtId="0" fontId="32" fillId="0" borderId="24" xfId="0" applyFont="1" applyBorder="1" applyAlignment="1">
      <alignment vertical="center"/>
    </xf>
    <xf numFmtId="0" fontId="14" fillId="0" borderId="24" xfId="0" applyFont="1" applyBorder="1" applyAlignment="1">
      <alignment vertical="center" wrapText="1"/>
    </xf>
    <xf numFmtId="0" fontId="30" fillId="0" borderId="29" xfId="106" applyBorder="1" applyAlignment="1">
      <alignment horizontal="center" vertical="center"/>
      <protection/>
    </xf>
    <xf numFmtId="0" fontId="30" fillId="0" borderId="28" xfId="106" applyBorder="1" applyAlignment="1" applyProtection="1">
      <alignment vertical="center" wrapText="1"/>
      <protection locked="0"/>
    </xf>
    <xf numFmtId="170" fontId="30" fillId="0" borderId="28" xfId="68" applyNumberFormat="1" applyFont="1" applyBorder="1" applyAlignment="1" applyProtection="1">
      <alignment horizontal="right" vertical="center"/>
      <protection locked="0"/>
    </xf>
    <xf numFmtId="170" fontId="30" fillId="0" borderId="59" xfId="68" applyNumberFormat="1" applyFont="1" applyBorder="1" applyAlignment="1" applyProtection="1">
      <alignment horizontal="right" vertical="center"/>
      <protection locked="0"/>
    </xf>
    <xf numFmtId="0" fontId="46" fillId="0" borderId="27" xfId="106" applyFont="1" applyBorder="1" applyAlignment="1">
      <alignment vertical="center" wrapText="1"/>
      <protection/>
    </xf>
    <xf numFmtId="170" fontId="30" fillId="0" borderId="27" xfId="106" applyNumberFormat="1" applyBorder="1" applyAlignment="1">
      <alignment horizontal="right" vertical="center"/>
      <protection/>
    </xf>
    <xf numFmtId="170" fontId="30" fillId="0" borderId="44" xfId="106" applyNumberFormat="1" applyBorder="1" applyAlignment="1">
      <alignment horizontal="right" vertical="center"/>
      <protection/>
    </xf>
    <xf numFmtId="170" fontId="29" fillId="0" borderId="0" xfId="106" applyNumberFormat="1" applyFont="1">
      <alignment/>
      <protection/>
    </xf>
    <xf numFmtId="0" fontId="30" fillId="0" borderId="0" xfId="106" applyAlignment="1" applyProtection="1">
      <alignment vertical="center" wrapText="1"/>
      <protection locked="0"/>
    </xf>
    <xf numFmtId="0" fontId="1" fillId="0" borderId="0" xfId="102">
      <alignment/>
      <protection/>
    </xf>
    <xf numFmtId="0" fontId="1" fillId="0" borderId="0" xfId="102" applyAlignment="1">
      <alignment wrapText="1"/>
      <protection/>
    </xf>
    <xf numFmtId="0" fontId="123" fillId="0" borderId="0" xfId="102" applyFont="1" applyAlignment="1">
      <alignment horizontal="right"/>
      <protection/>
    </xf>
    <xf numFmtId="0" fontId="0" fillId="0" borderId="0" xfId="95">
      <alignment/>
      <protection/>
    </xf>
    <xf numFmtId="0" fontId="84" fillId="0" borderId="0" xfId="102" applyFont="1" applyAlignment="1">
      <alignment horizontal="center"/>
      <protection/>
    </xf>
    <xf numFmtId="169" fontId="1" fillId="0" borderId="0" xfId="102" applyNumberFormat="1" applyAlignment="1">
      <alignment vertical="center" wrapText="1"/>
      <protection/>
    </xf>
    <xf numFmtId="169" fontId="27" fillId="0" borderId="46" xfId="102" applyNumberFormat="1" applyFont="1" applyBorder="1" applyAlignment="1">
      <alignment horizontal="center"/>
      <protection/>
    </xf>
    <xf numFmtId="169" fontId="27" fillId="0" borderId="46" xfId="102" applyNumberFormat="1" applyFont="1" applyBorder="1" applyAlignment="1">
      <alignment horizontal="center" wrapText="1"/>
      <protection/>
    </xf>
    <xf numFmtId="169" fontId="27" fillId="0" borderId="52" xfId="102" applyNumberFormat="1" applyFont="1" applyBorder="1" applyAlignment="1">
      <alignment horizontal="center" vertical="center" wrapText="1"/>
      <protection/>
    </xf>
    <xf numFmtId="169" fontId="27" fillId="0" borderId="52" xfId="102" applyNumberFormat="1" applyFont="1" applyBorder="1" applyAlignment="1">
      <alignment horizontal="center" vertical="center"/>
      <protection/>
    </xf>
    <xf numFmtId="169" fontId="28" fillId="0" borderId="31" xfId="102" applyNumberFormat="1" applyFont="1" applyBorder="1" applyAlignment="1">
      <alignment horizontal="center" vertical="center" wrapText="1"/>
      <protection/>
    </xf>
    <xf numFmtId="169" fontId="27" fillId="0" borderId="27" xfId="102" applyNumberFormat="1" applyFont="1" applyBorder="1" applyAlignment="1">
      <alignment vertical="center" wrapText="1"/>
      <protection/>
    </xf>
    <xf numFmtId="169" fontId="1" fillId="56" borderId="27" xfId="102" applyNumberFormat="1" applyFill="1" applyBorder="1" applyAlignment="1">
      <alignment vertical="center" wrapText="1"/>
      <protection/>
    </xf>
    <xf numFmtId="169" fontId="1" fillId="0" borderId="44" xfId="102" applyNumberFormat="1" applyBorder="1" applyAlignment="1">
      <alignment vertical="center" wrapText="1"/>
      <protection/>
    </xf>
    <xf numFmtId="169" fontId="28" fillId="0" borderId="32" xfId="102" applyNumberFormat="1" applyFont="1" applyBorder="1" applyAlignment="1">
      <alignment horizontal="center" vertical="center" wrapText="1"/>
      <protection/>
    </xf>
    <xf numFmtId="169" fontId="29" fillId="0" borderId="27" xfId="102" applyNumberFormat="1" applyFont="1" applyBorder="1" applyAlignment="1" applyProtection="1">
      <alignment vertical="center" wrapText="1"/>
      <protection locked="0"/>
    </xf>
    <xf numFmtId="0" fontId="66" fillId="0" borderId="27" xfId="102" applyFont="1" applyBorder="1" applyAlignment="1">
      <alignment horizontal="center" vertical="center" wrapText="1"/>
      <protection/>
    </xf>
    <xf numFmtId="171" fontId="1" fillId="0" borderId="27" xfId="102" applyNumberFormat="1" applyBorder="1" applyAlignment="1" applyProtection="1">
      <alignment vertical="center" wrapText="1"/>
      <protection locked="0"/>
    </xf>
    <xf numFmtId="169" fontId="1" fillId="0" borderId="25" xfId="102" applyNumberFormat="1" applyBorder="1" applyAlignment="1" applyProtection="1">
      <alignment vertical="center" wrapText="1"/>
      <protection locked="0"/>
    </xf>
    <xf numFmtId="3" fontId="6" fillId="0" borderId="44" xfId="102" applyNumberFormat="1" applyFont="1" applyBorder="1" applyAlignment="1">
      <alignment vertical="center" wrapText="1"/>
      <protection/>
    </xf>
    <xf numFmtId="169" fontId="28" fillId="0" borderId="22" xfId="102" applyNumberFormat="1" applyFont="1" applyBorder="1" applyAlignment="1">
      <alignment horizontal="center" vertical="center" wrapText="1"/>
      <protection/>
    </xf>
    <xf numFmtId="169" fontId="29" fillId="0" borderId="24" xfId="102" applyNumberFormat="1" applyFont="1" applyBorder="1" applyAlignment="1" applyProtection="1">
      <alignment vertical="center" wrapText="1"/>
      <protection locked="0"/>
    </xf>
    <xf numFmtId="14" fontId="1" fillId="0" borderId="24" xfId="102" applyNumberFormat="1" applyBorder="1" applyAlignment="1" applyProtection="1">
      <alignment vertical="center" wrapText="1"/>
      <protection locked="0"/>
    </xf>
    <xf numFmtId="3" fontId="93" fillId="0" borderId="25" xfId="102" applyNumberFormat="1" applyFont="1" applyBorder="1" applyAlignment="1" applyProtection="1">
      <alignment vertical="center" wrapText="1"/>
      <protection locked="0"/>
    </xf>
    <xf numFmtId="169" fontId="28" fillId="0" borderId="34" xfId="102" applyNumberFormat="1" applyFont="1" applyBorder="1" applyAlignment="1">
      <alignment horizontal="center" vertical="center" wrapText="1"/>
      <protection/>
    </xf>
    <xf numFmtId="3" fontId="1" fillId="0" borderId="25" xfId="102" applyNumberFormat="1" applyBorder="1" applyAlignment="1" applyProtection="1">
      <alignment vertical="center" wrapText="1"/>
      <protection locked="0"/>
    </xf>
    <xf numFmtId="14" fontId="1" fillId="0" borderId="28" xfId="102" applyNumberFormat="1" applyBorder="1" applyAlignment="1" applyProtection="1">
      <alignment vertical="center" wrapText="1"/>
      <protection locked="0"/>
    </xf>
    <xf numFmtId="3" fontId="1" fillId="0" borderId="59" xfId="102" applyNumberFormat="1" applyBorder="1" applyAlignment="1" applyProtection="1">
      <alignment vertical="center" wrapText="1"/>
      <protection locked="0"/>
    </xf>
    <xf numFmtId="169" fontId="28" fillId="0" borderId="40" xfId="102" applyNumberFormat="1" applyFont="1" applyBorder="1" applyAlignment="1">
      <alignment horizontal="center" vertical="center" wrapText="1"/>
      <protection/>
    </xf>
    <xf numFmtId="169" fontId="29" fillId="0" borderId="53" xfId="102" applyNumberFormat="1" applyFont="1" applyBorder="1" applyAlignment="1" applyProtection="1">
      <alignment vertical="center" wrapText="1"/>
      <protection locked="0"/>
    </xf>
    <xf numFmtId="14" fontId="1" fillId="0" borderId="20" xfId="102" applyNumberFormat="1" applyBorder="1" applyAlignment="1" applyProtection="1">
      <alignment vertical="center" wrapText="1"/>
      <protection locked="0"/>
    </xf>
    <xf numFmtId="3" fontId="1" fillId="0" borderId="21" xfId="102" applyNumberFormat="1" applyBorder="1" applyAlignment="1" applyProtection="1">
      <alignment vertical="center" wrapText="1"/>
      <protection locked="0"/>
    </xf>
    <xf numFmtId="169" fontId="46" fillId="0" borderId="27" xfId="102" applyNumberFormat="1" applyFont="1" applyBorder="1" applyAlignment="1">
      <alignment vertical="center" wrapText="1"/>
      <protection/>
    </xf>
    <xf numFmtId="0" fontId="46" fillId="0" borderId="47" xfId="106" applyFont="1" applyBorder="1" applyAlignment="1">
      <alignment horizontal="center" vertical="center" wrapText="1"/>
      <protection/>
    </xf>
    <xf numFmtId="0" fontId="76" fillId="0" borderId="20" xfId="0" applyFont="1" applyBorder="1" applyAlignment="1">
      <alignment vertical="center" wrapText="1"/>
    </xf>
    <xf numFmtId="170" fontId="30" fillId="0" borderId="44" xfId="68" applyNumberFormat="1" applyFont="1" applyFill="1" applyBorder="1" applyAlignment="1" applyProtection="1">
      <alignment vertical="center"/>
      <protection/>
    </xf>
    <xf numFmtId="0" fontId="0" fillId="54" borderId="0" xfId="95" applyFill="1">
      <alignment/>
      <protection/>
    </xf>
    <xf numFmtId="0" fontId="28" fillId="54" borderId="22" xfId="95" applyFont="1" applyFill="1" applyBorder="1" applyAlignment="1">
      <alignment horizontal="center" vertical="center"/>
      <protection/>
    </xf>
    <xf numFmtId="0" fontId="0" fillId="54" borderId="19" xfId="95" applyFill="1" applyBorder="1" applyAlignment="1">
      <alignment vertical="center"/>
      <protection/>
    </xf>
    <xf numFmtId="0" fontId="6" fillId="0" borderId="23" xfId="0" applyFont="1" applyBorder="1" applyAlignment="1">
      <alignment/>
    </xf>
    <xf numFmtId="0" fontId="0" fillId="0" borderId="0" xfId="100">
      <alignment/>
      <protection/>
    </xf>
    <xf numFmtId="0" fontId="27" fillId="0" borderId="0" xfId="100" applyFont="1" applyAlignment="1">
      <alignment horizontal="center"/>
      <protection/>
    </xf>
    <xf numFmtId="0" fontId="44" fillId="0" borderId="0" xfId="100" applyFont="1" applyAlignment="1">
      <alignment horizontal="right"/>
      <protection/>
    </xf>
    <xf numFmtId="0" fontId="28" fillId="0" borderId="43" xfId="100" applyFont="1" applyBorder="1" applyAlignment="1">
      <alignment horizontal="center" vertical="center" wrapText="1"/>
      <protection/>
    </xf>
    <xf numFmtId="0" fontId="27" fillId="0" borderId="27" xfId="100" applyFont="1" applyBorder="1" applyAlignment="1">
      <alignment horizontal="center" vertical="center"/>
      <protection/>
    </xf>
    <xf numFmtId="0" fontId="27" fillId="0" borderId="44" xfId="100" applyFont="1" applyBorder="1" applyAlignment="1">
      <alignment horizontal="center" vertical="center" wrapText="1"/>
      <protection/>
    </xf>
    <xf numFmtId="0" fontId="0" fillId="0" borderId="26" xfId="100" applyBorder="1" applyAlignment="1">
      <alignment horizontal="center" vertical="center"/>
      <protection/>
    </xf>
    <xf numFmtId="0" fontId="0" fillId="0" borderId="41" xfId="100" applyBorder="1" applyAlignment="1" applyProtection="1">
      <alignment horizontal="left" vertical="center" wrapText="1" indent="1"/>
      <protection locked="0"/>
    </xf>
    <xf numFmtId="188" fontId="49" fillId="0" borderId="47" xfId="100" applyNumberFormat="1" applyFont="1" applyBorder="1" applyAlignment="1">
      <alignment horizontal="right" vertical="center"/>
      <protection/>
    </xf>
    <xf numFmtId="3" fontId="0" fillId="0" borderId="0" xfId="100" applyNumberFormat="1">
      <alignment/>
      <protection/>
    </xf>
    <xf numFmtId="0" fontId="0" fillId="0" borderId="19" xfId="100" applyBorder="1" applyAlignment="1">
      <alignment horizontal="center" vertical="center"/>
      <protection/>
    </xf>
    <xf numFmtId="0" fontId="124" fillId="0" borderId="24" xfId="100" applyFont="1" applyBorder="1" applyAlignment="1">
      <alignment horizontal="left" vertical="center" indent="5"/>
      <protection/>
    </xf>
    <xf numFmtId="188" fontId="52" fillId="0" borderId="25" xfId="100" applyNumberFormat="1" applyFont="1" applyBorder="1" applyAlignment="1" applyProtection="1">
      <alignment horizontal="right" vertical="center"/>
      <protection locked="0"/>
    </xf>
    <xf numFmtId="188" fontId="0" fillId="0" borderId="0" xfId="100" applyNumberFormat="1">
      <alignment/>
      <protection/>
    </xf>
    <xf numFmtId="188" fontId="52" fillId="0" borderId="59" xfId="100" applyNumberFormat="1" applyFont="1" applyBorder="1" applyAlignment="1" applyProtection="1">
      <alignment horizontal="right" vertical="center"/>
      <protection locked="0"/>
    </xf>
    <xf numFmtId="0" fontId="0" fillId="0" borderId="29" xfId="100" applyBorder="1" applyAlignment="1">
      <alignment horizontal="center" vertical="center"/>
      <protection/>
    </xf>
    <xf numFmtId="188" fontId="52" fillId="0" borderId="21" xfId="100" applyNumberFormat="1" applyFont="1" applyBorder="1" applyAlignment="1" applyProtection="1">
      <alignment horizontal="right" vertical="center"/>
      <protection locked="0"/>
    </xf>
    <xf numFmtId="0" fontId="0" fillId="0" borderId="22" xfId="100" applyBorder="1" applyAlignment="1">
      <alignment horizontal="center" vertical="center"/>
      <protection/>
    </xf>
    <xf numFmtId="0" fontId="0" fillId="0" borderId="46" xfId="100" applyBorder="1" applyAlignment="1" applyProtection="1">
      <alignment horizontal="left" vertical="center" wrapText="1" indent="1"/>
      <protection locked="0"/>
    </xf>
    <xf numFmtId="0" fontId="0" fillId="0" borderId="23" xfId="100" applyBorder="1" applyAlignment="1">
      <alignment horizontal="center" vertical="center"/>
      <protection/>
    </xf>
    <xf numFmtId="0" fontId="124" fillId="0" borderId="20" xfId="100" applyFont="1" applyBorder="1" applyAlignment="1">
      <alignment horizontal="left" vertical="center" indent="5"/>
      <protection/>
    </xf>
    <xf numFmtId="0" fontId="6" fillId="0" borderId="24" xfId="95" applyFont="1" applyBorder="1">
      <alignment/>
      <protection/>
    </xf>
    <xf numFmtId="3" fontId="162" fillId="0" borderId="59" xfId="95" applyNumberFormat="1" applyFont="1" applyFill="1" applyBorder="1">
      <alignment/>
      <protection/>
    </xf>
    <xf numFmtId="3" fontId="162" fillId="0" borderId="72" xfId="95" applyNumberFormat="1" applyFont="1" applyFill="1" applyBorder="1">
      <alignment/>
      <protection/>
    </xf>
    <xf numFmtId="0" fontId="162" fillId="0" borderId="65" xfId="95" applyFont="1" applyFill="1" applyBorder="1">
      <alignment/>
      <protection/>
    </xf>
    <xf numFmtId="0" fontId="50" fillId="0" borderId="27" xfId="101" applyFont="1" applyBorder="1" applyAlignment="1">
      <alignment horizontal="center" vertical="center" wrapText="1"/>
      <protection/>
    </xf>
    <xf numFmtId="165" fontId="66" fillId="0" borderId="41" xfId="101" applyNumberFormat="1" applyFont="1" applyBorder="1" applyAlignment="1">
      <alignment horizontal="right"/>
      <protection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3" fillId="0" borderId="0" xfId="96" applyFont="1">
      <alignment/>
      <protection/>
    </xf>
    <xf numFmtId="0" fontId="0" fillId="0" borderId="24" xfId="0" applyBorder="1" applyAlignment="1">
      <alignment wrapText="1"/>
    </xf>
    <xf numFmtId="2" fontId="37" fillId="0" borderId="25" xfId="104" applyNumberFormat="1" applyFont="1" applyFill="1" applyBorder="1" applyAlignment="1">
      <alignment horizontal="center" vertical="center" wrapText="1"/>
      <protection/>
    </xf>
    <xf numFmtId="10" fontId="37" fillId="0" borderId="25" xfId="118" applyNumberFormat="1" applyFont="1" applyBorder="1" applyAlignment="1">
      <alignment horizontal="center" vertical="center" wrapText="1"/>
    </xf>
    <xf numFmtId="2" fontId="35" fillId="0" borderId="48" xfId="104" applyNumberFormat="1" applyFont="1" applyFill="1" applyBorder="1" applyAlignment="1">
      <alignment horizontal="center" vertical="center"/>
      <protection/>
    </xf>
    <xf numFmtId="2" fontId="33" fillId="0" borderId="0" xfId="104" applyNumberFormat="1" applyFont="1" applyFill="1" applyAlignment="1">
      <alignment horizontal="center" vertical="center"/>
      <protection/>
    </xf>
    <xf numFmtId="2" fontId="35" fillId="0" borderId="44" xfId="104" applyNumberFormat="1" applyFont="1" applyFill="1" applyBorder="1" applyAlignment="1">
      <alignment horizontal="center" vertical="center" wrapText="1"/>
      <protection/>
    </xf>
    <xf numFmtId="1" fontId="37" fillId="0" borderId="25" xfId="104" applyNumberFormat="1" applyFont="1" applyBorder="1" applyAlignment="1">
      <alignment horizontal="center" vertical="center" wrapText="1"/>
      <protection/>
    </xf>
    <xf numFmtId="3" fontId="15" fillId="54" borderId="24" xfId="0" applyNumberFormat="1" applyFont="1" applyFill="1" applyBorder="1" applyAlignment="1">
      <alignment horizontal="right" vertical="center"/>
    </xf>
    <xf numFmtId="3" fontId="163" fillId="54" borderId="24" xfId="0" applyNumberFormat="1" applyFont="1" applyFill="1" applyBorder="1" applyAlignment="1">
      <alignment horizontal="right" vertical="center"/>
    </xf>
    <xf numFmtId="3" fontId="166" fillId="0" borderId="24" xfId="0" applyNumberFormat="1" applyFont="1" applyFill="1" applyBorder="1" applyAlignment="1">
      <alignment horizontal="right" vertical="center"/>
    </xf>
    <xf numFmtId="3" fontId="166" fillId="54" borderId="24" xfId="0" applyNumberFormat="1" applyFont="1" applyFill="1" applyBorder="1" applyAlignment="1">
      <alignment horizontal="right" vertical="center"/>
    </xf>
    <xf numFmtId="3" fontId="166" fillId="0" borderId="25" xfId="103" applyNumberFormat="1" applyFont="1" applyFill="1" applyBorder="1" applyAlignment="1">
      <alignment horizontal="right" vertical="center"/>
      <protection/>
    </xf>
    <xf numFmtId="3" fontId="12" fillId="57" borderId="27" xfId="103" applyNumberFormat="1" applyFont="1" applyFill="1" applyBorder="1" applyAlignment="1">
      <alignment horizontal="right" vertical="center"/>
      <protection/>
    </xf>
    <xf numFmtId="0" fontId="11" fillId="54" borderId="19" xfId="103" applyFont="1" applyFill="1" applyBorder="1" applyAlignment="1">
      <alignment horizontal="center" vertical="center"/>
      <protection/>
    </xf>
    <xf numFmtId="0" fontId="19" fillId="54" borderId="24" xfId="0" applyFont="1" applyFill="1" applyBorder="1" applyAlignment="1">
      <alignment/>
    </xf>
    <xf numFmtId="0" fontId="14" fillId="54" borderId="64" xfId="0" applyFont="1" applyFill="1" applyBorder="1" applyAlignment="1">
      <alignment horizontal="center" vertical="center"/>
    </xf>
    <xf numFmtId="3" fontId="15" fillId="54" borderId="19" xfId="103" applyNumberFormat="1" applyFont="1" applyFill="1" applyBorder="1" applyAlignment="1">
      <alignment vertical="center"/>
      <protection/>
    </xf>
    <xf numFmtId="3" fontId="15" fillId="54" borderId="24" xfId="103" applyNumberFormat="1" applyFont="1" applyFill="1" applyBorder="1" applyAlignment="1">
      <alignment vertical="center"/>
      <protection/>
    </xf>
    <xf numFmtId="3" fontId="15" fillId="54" borderId="24" xfId="103" applyNumberFormat="1" applyFont="1" applyFill="1" applyBorder="1" applyAlignment="1">
      <alignment horizontal="right" vertical="center"/>
      <protection/>
    </xf>
    <xf numFmtId="3" fontId="15" fillId="54" borderId="25" xfId="103" applyNumberFormat="1" applyFont="1" applyFill="1" applyBorder="1" applyAlignment="1">
      <alignment horizontal="right" vertical="center"/>
      <protection/>
    </xf>
    <xf numFmtId="3" fontId="15" fillId="54" borderId="33" xfId="103" applyNumberFormat="1" applyFont="1" applyFill="1" applyBorder="1" applyAlignment="1">
      <alignment horizontal="right" vertical="center"/>
      <protection/>
    </xf>
    <xf numFmtId="3" fontId="15" fillId="54" borderId="24" xfId="103" applyNumberFormat="1" applyFont="1" applyFill="1" applyBorder="1" applyAlignment="1">
      <alignment vertical="center"/>
      <protection/>
    </xf>
    <xf numFmtId="0" fontId="11" fillId="54" borderId="0" xfId="103" applyFont="1" applyFill="1" applyAlignment="1">
      <alignment vertical="center"/>
      <protection/>
    </xf>
    <xf numFmtId="3" fontId="15" fillId="54" borderId="29" xfId="103" applyNumberFormat="1" applyFont="1" applyFill="1" applyBorder="1" applyAlignment="1">
      <alignment horizontal="right" vertical="center"/>
      <protection/>
    </xf>
    <xf numFmtId="3" fontId="15" fillId="54" borderId="28" xfId="103" applyNumberFormat="1" applyFont="1" applyFill="1" applyBorder="1" applyAlignment="1">
      <alignment horizontal="right" vertical="center"/>
      <protection/>
    </xf>
    <xf numFmtId="3" fontId="12" fillId="57" borderId="44" xfId="103" applyNumberFormat="1" applyFont="1" applyFill="1" applyBorder="1" applyAlignment="1">
      <alignment horizontal="right" vertical="center"/>
      <protection/>
    </xf>
    <xf numFmtId="3" fontId="12" fillId="2" borderId="44" xfId="103" applyNumberFormat="1" applyFont="1" applyFill="1" applyBorder="1" applyAlignment="1">
      <alignment horizontal="right" vertical="center"/>
      <protection/>
    </xf>
    <xf numFmtId="3" fontId="12" fillId="2" borderId="27" xfId="103" applyNumberFormat="1" applyFont="1" applyFill="1" applyBorder="1" applyAlignment="1">
      <alignment horizontal="right" vertical="center"/>
      <protection/>
    </xf>
    <xf numFmtId="0" fontId="15" fillId="0" borderId="0" xfId="103" applyFont="1" applyFill="1" applyAlignment="1">
      <alignment vertical="center"/>
      <protection/>
    </xf>
    <xf numFmtId="0" fontId="15" fillId="0" borderId="0" xfId="103" applyFont="1" applyFill="1" applyAlignment="1">
      <alignment horizontal="center" vertical="center"/>
      <protection/>
    </xf>
    <xf numFmtId="0" fontId="163" fillId="0" borderId="0" xfId="103" applyFont="1" applyFill="1" applyAlignment="1">
      <alignment vertical="center"/>
      <protection/>
    </xf>
    <xf numFmtId="3" fontId="15" fillId="0" borderId="0" xfId="103" applyNumberFormat="1" applyFont="1" applyFill="1" applyAlignment="1">
      <alignment vertical="center"/>
      <protection/>
    </xf>
    <xf numFmtId="9" fontId="15" fillId="0" borderId="33" xfId="103" applyNumberFormat="1" applyFont="1" applyFill="1" applyBorder="1" applyAlignment="1">
      <alignment horizontal="right" vertical="center"/>
      <protection/>
    </xf>
    <xf numFmtId="9" fontId="15" fillId="54" borderId="33" xfId="103" applyNumberFormat="1" applyFont="1" applyFill="1" applyBorder="1" applyAlignment="1">
      <alignment horizontal="right" vertical="center"/>
      <protection/>
    </xf>
    <xf numFmtId="9" fontId="163" fillId="0" borderId="33" xfId="103" applyNumberFormat="1" applyFont="1" applyFill="1" applyBorder="1" applyAlignment="1">
      <alignment horizontal="right" vertical="center"/>
      <protection/>
    </xf>
    <xf numFmtId="10" fontId="15" fillId="54" borderId="59" xfId="103" applyNumberFormat="1" applyFont="1" applyFill="1" applyBorder="1" applyAlignment="1">
      <alignment vertical="center"/>
      <protection/>
    </xf>
    <xf numFmtId="10" fontId="15" fillId="0" borderId="25" xfId="103" applyNumberFormat="1" applyFont="1" applyFill="1" applyBorder="1" applyAlignment="1">
      <alignment horizontal="right" vertical="center"/>
      <protection/>
    </xf>
    <xf numFmtId="9" fontId="15" fillId="54" borderId="37" xfId="103" applyNumberFormat="1" applyFont="1" applyFill="1" applyBorder="1" applyAlignment="1">
      <alignment horizontal="right" vertical="center"/>
      <protection/>
    </xf>
    <xf numFmtId="9" fontId="15" fillId="54" borderId="31" xfId="103" applyNumberFormat="1" applyFont="1" applyFill="1" applyBorder="1" applyAlignment="1">
      <alignment horizontal="right" vertical="center"/>
      <protection/>
    </xf>
    <xf numFmtId="3" fontId="16" fillId="0" borderId="75" xfId="103" applyNumberFormat="1" applyFont="1" applyFill="1" applyBorder="1" applyAlignment="1">
      <alignment horizontal="center" vertical="center"/>
      <protection/>
    </xf>
    <xf numFmtId="10" fontId="15" fillId="0" borderId="58" xfId="103" applyNumberFormat="1" applyFont="1" applyFill="1" applyBorder="1" applyAlignment="1">
      <alignment horizontal="right" vertical="center"/>
      <protection/>
    </xf>
    <xf numFmtId="0" fontId="0" fillId="54" borderId="22" xfId="103" applyFont="1" applyFill="1" applyBorder="1" applyAlignment="1">
      <alignment horizontal="center" vertical="center"/>
      <protection/>
    </xf>
    <xf numFmtId="0" fontId="0" fillId="54" borderId="41" xfId="103" applyFont="1" applyFill="1" applyBorder="1" applyAlignment="1">
      <alignment horizontal="left" vertical="center" wrapText="1"/>
      <protection/>
    </xf>
    <xf numFmtId="0" fontId="0" fillId="54" borderId="46" xfId="103" applyFont="1" applyFill="1" applyBorder="1" applyAlignment="1">
      <alignment horizontal="center" vertical="center"/>
      <protection/>
    </xf>
    <xf numFmtId="3" fontId="7" fillId="54" borderId="24" xfId="103" applyNumberFormat="1" applyFont="1" applyFill="1" applyBorder="1" applyAlignment="1">
      <alignment horizontal="right" vertical="center"/>
      <protection/>
    </xf>
    <xf numFmtId="3" fontId="7" fillId="54" borderId="47" xfId="103" applyNumberFormat="1" applyFont="1" applyFill="1" applyBorder="1" applyAlignment="1">
      <alignment horizontal="right" vertical="center"/>
      <protection/>
    </xf>
    <xf numFmtId="3" fontId="7" fillId="54" borderId="89" xfId="103" applyNumberFormat="1" applyFont="1" applyFill="1" applyBorder="1" applyAlignment="1">
      <alignment horizontal="right" vertical="center"/>
      <protection/>
    </xf>
    <xf numFmtId="0" fontId="11" fillId="54" borderId="0" xfId="103" applyFont="1" applyFill="1">
      <alignment/>
      <protection/>
    </xf>
    <xf numFmtId="0" fontId="0" fillId="54" borderId="19" xfId="103" applyFont="1" applyFill="1" applyBorder="1" applyAlignment="1">
      <alignment horizontal="center" vertical="center"/>
      <protection/>
    </xf>
    <xf numFmtId="0" fontId="0" fillId="54" borderId="41" xfId="103" applyFont="1" applyFill="1" applyBorder="1" applyAlignment="1">
      <alignment horizontal="center" vertical="center"/>
      <protection/>
    </xf>
    <xf numFmtId="3" fontId="7" fillId="54" borderId="58" xfId="103" applyNumberFormat="1" applyFont="1" applyFill="1" applyBorder="1" applyAlignment="1">
      <alignment horizontal="right" vertical="center"/>
      <protection/>
    </xf>
    <xf numFmtId="3" fontId="7" fillId="54" borderId="97" xfId="103" applyNumberFormat="1" applyFont="1" applyFill="1" applyBorder="1" applyAlignment="1">
      <alignment horizontal="right" vertical="center"/>
      <protection/>
    </xf>
    <xf numFmtId="3" fontId="11" fillId="54" borderId="0" xfId="103" applyNumberFormat="1" applyFont="1" applyFill="1">
      <alignment/>
      <protection/>
    </xf>
    <xf numFmtId="9" fontId="7" fillId="54" borderId="22" xfId="103" applyNumberFormat="1" applyFont="1" applyFill="1" applyBorder="1" applyAlignment="1">
      <alignment horizontal="right" vertical="center"/>
      <protection/>
    </xf>
    <xf numFmtId="9" fontId="7" fillId="54" borderId="75" xfId="103" applyNumberFormat="1" applyFont="1" applyFill="1" applyBorder="1" applyAlignment="1">
      <alignment horizontal="right" vertical="center"/>
      <protection/>
    </xf>
    <xf numFmtId="0" fontId="12" fillId="0" borderId="0" xfId="103" applyFont="1" applyFill="1" applyBorder="1" applyAlignment="1">
      <alignment vertical="center" wrapText="1"/>
      <protection/>
    </xf>
    <xf numFmtId="3" fontId="18" fillId="0" borderId="0" xfId="68" applyNumberFormat="1" applyFont="1" applyFill="1" applyBorder="1" applyAlignment="1">
      <alignment horizontal="right" vertical="center"/>
    </xf>
    <xf numFmtId="10" fontId="18" fillId="0" borderId="0" xfId="103" applyNumberFormat="1" applyFont="1" applyFill="1" applyBorder="1" applyAlignment="1">
      <alignment horizontal="right"/>
      <protection/>
    </xf>
    <xf numFmtId="3" fontId="18" fillId="0" borderId="0" xfId="68" applyNumberFormat="1" applyFont="1" applyBorder="1" applyAlignment="1">
      <alignment horizontal="right" vertical="center"/>
    </xf>
    <xf numFmtId="3" fontId="18" fillId="54" borderId="0" xfId="68" applyNumberFormat="1" applyFont="1" applyFill="1" applyBorder="1" applyAlignment="1">
      <alignment horizontal="right" vertical="center"/>
    </xf>
    <xf numFmtId="3" fontId="18" fillId="57" borderId="20" xfId="103" applyNumberFormat="1" applyFont="1" applyFill="1" applyBorder="1" applyAlignment="1">
      <alignment horizontal="right"/>
      <protection/>
    </xf>
    <xf numFmtId="3" fontId="18" fillId="57" borderId="21" xfId="103" applyNumberFormat="1" applyFont="1" applyFill="1" applyBorder="1" applyAlignment="1">
      <alignment horizontal="right"/>
      <protection/>
    </xf>
    <xf numFmtId="3" fontId="41" fillId="54" borderId="28" xfId="103" applyNumberFormat="1" applyFont="1" applyFill="1" applyBorder="1" applyAlignment="1">
      <alignment horizontal="right"/>
      <protection/>
    </xf>
    <xf numFmtId="10" fontId="41" fillId="0" borderId="28" xfId="103" applyNumberFormat="1" applyFont="1" applyBorder="1" applyAlignment="1">
      <alignment horizontal="right"/>
      <protection/>
    </xf>
    <xf numFmtId="10" fontId="41" fillId="0" borderId="20" xfId="103" applyNumberFormat="1" applyFont="1" applyBorder="1" applyAlignment="1">
      <alignment horizontal="right"/>
      <protection/>
    </xf>
    <xf numFmtId="10" fontId="41" fillId="0" borderId="65" xfId="103" applyNumberFormat="1" applyFont="1" applyBorder="1" applyAlignment="1">
      <alignment horizontal="right"/>
      <protection/>
    </xf>
    <xf numFmtId="3" fontId="41" fillId="54" borderId="24" xfId="103" applyNumberFormat="1" applyFont="1" applyFill="1" applyBorder="1" applyAlignment="1">
      <alignment horizontal="right"/>
      <protection/>
    </xf>
    <xf numFmtId="3" fontId="18" fillId="54" borderId="20" xfId="68" applyNumberFormat="1" applyFont="1" applyFill="1" applyBorder="1" applyAlignment="1">
      <alignment horizontal="right" vertical="center"/>
    </xf>
    <xf numFmtId="10" fontId="41" fillId="0" borderId="69" xfId="103" applyNumberFormat="1" applyFont="1" applyFill="1" applyBorder="1" applyAlignment="1">
      <alignment horizontal="right"/>
      <protection/>
    </xf>
    <xf numFmtId="10" fontId="41" fillId="0" borderId="25" xfId="103" applyNumberFormat="1" applyFont="1" applyFill="1" applyBorder="1" applyAlignment="1">
      <alignment horizontal="right"/>
      <protection/>
    </xf>
    <xf numFmtId="0" fontId="15" fillId="54" borderId="19" xfId="103" applyFont="1" applyFill="1" applyBorder="1" applyAlignment="1">
      <alignment wrapText="1"/>
      <protection/>
    </xf>
    <xf numFmtId="3" fontId="41" fillId="54" borderId="64" xfId="103" applyNumberFormat="1" applyFont="1" applyFill="1" applyBorder="1" applyAlignment="1">
      <alignment horizontal="right"/>
      <protection/>
    </xf>
    <xf numFmtId="10" fontId="41" fillId="54" borderId="64" xfId="103" applyNumberFormat="1" applyFont="1" applyFill="1" applyBorder="1" applyAlignment="1">
      <alignment horizontal="right"/>
      <protection/>
    </xf>
    <xf numFmtId="0" fontId="41" fillId="54" borderId="19" xfId="103" applyFont="1" applyFill="1" applyBorder="1" applyAlignment="1">
      <alignment horizontal="right"/>
      <protection/>
    </xf>
    <xf numFmtId="0" fontId="41" fillId="54" borderId="24" xfId="103" applyFont="1" applyFill="1" applyBorder="1" applyAlignment="1">
      <alignment horizontal="right"/>
      <protection/>
    </xf>
    <xf numFmtId="0" fontId="11" fillId="54" borderId="56" xfId="103" applyFont="1" applyFill="1" applyBorder="1">
      <alignment/>
      <protection/>
    </xf>
    <xf numFmtId="0" fontId="15" fillId="54" borderId="19" xfId="103" applyFont="1" applyFill="1" applyBorder="1" applyAlignment="1">
      <alignment horizontal="right" wrapText="1"/>
      <protection/>
    </xf>
    <xf numFmtId="10" fontId="41" fillId="54" borderId="25" xfId="103" applyNumberFormat="1" applyFont="1" applyFill="1" applyBorder="1" applyAlignment="1">
      <alignment horizontal="right"/>
      <protection/>
    </xf>
    <xf numFmtId="3" fontId="41" fillId="54" borderId="19" xfId="103" applyNumberFormat="1" applyFont="1" applyFill="1" applyBorder="1" applyAlignment="1">
      <alignment horizontal="right"/>
      <protection/>
    </xf>
    <xf numFmtId="3" fontId="41" fillId="54" borderId="25" xfId="103" applyNumberFormat="1" applyFont="1" applyFill="1" applyBorder="1" applyAlignment="1">
      <alignment horizontal="right"/>
      <protection/>
    </xf>
    <xf numFmtId="10" fontId="41" fillId="0" borderId="59" xfId="103" applyNumberFormat="1" applyFont="1" applyFill="1" applyBorder="1" applyAlignment="1">
      <alignment horizontal="right"/>
      <protection/>
    </xf>
    <xf numFmtId="3" fontId="41" fillId="0" borderId="30" xfId="103" applyNumberFormat="1" applyFont="1" applyFill="1" applyBorder="1" applyAlignment="1">
      <alignment horizontal="right"/>
      <protection/>
    </xf>
    <xf numFmtId="10" fontId="41" fillId="54" borderId="59" xfId="103" applyNumberFormat="1" applyFont="1" applyFill="1" applyBorder="1" applyAlignment="1">
      <alignment horizontal="right"/>
      <protection/>
    </xf>
    <xf numFmtId="10" fontId="18" fillId="54" borderId="44" xfId="103" applyNumberFormat="1" applyFont="1" applyFill="1" applyBorder="1" applyAlignment="1">
      <alignment horizontal="right"/>
      <protection/>
    </xf>
    <xf numFmtId="3" fontId="11" fillId="0" borderId="24" xfId="103" applyNumberFormat="1" applyBorder="1">
      <alignment/>
      <protection/>
    </xf>
    <xf numFmtId="3" fontId="77" fillId="58" borderId="27" xfId="105" applyNumberFormat="1" applyFont="1" applyFill="1" applyBorder="1" applyAlignment="1">
      <alignment vertical="center"/>
      <protection/>
    </xf>
    <xf numFmtId="10" fontId="76" fillId="0" borderId="57" xfId="105" applyNumberFormat="1" applyFont="1" applyFill="1" applyBorder="1" applyAlignment="1">
      <alignment vertical="top"/>
      <protection/>
    </xf>
    <xf numFmtId="3" fontId="7" fillId="58" borderId="24" xfId="0" applyNumberFormat="1" applyFont="1" applyFill="1" applyBorder="1" applyAlignment="1">
      <alignment vertical="center"/>
    </xf>
    <xf numFmtId="10" fontId="125" fillId="59" borderId="83" xfId="103" applyNumberFormat="1" applyFont="1" applyFill="1" applyBorder="1" applyAlignment="1">
      <alignment horizontal="right" vertical="center" wrapText="1"/>
      <protection/>
    </xf>
    <xf numFmtId="10" fontId="30" fillId="0" borderId="57" xfId="68" applyNumberFormat="1" applyFont="1" applyFill="1" applyBorder="1" applyAlignment="1" applyProtection="1">
      <alignment vertical="center"/>
      <protection locked="0"/>
    </xf>
    <xf numFmtId="10" fontId="30" fillId="0" borderId="76" xfId="68" applyNumberFormat="1" applyFont="1" applyFill="1" applyBorder="1" applyAlignment="1" applyProtection="1">
      <alignment vertical="center"/>
      <protection locked="0"/>
    </xf>
    <xf numFmtId="10" fontId="29" fillId="0" borderId="0" xfId="106" applyNumberFormat="1" applyFont="1" applyFill="1" applyAlignment="1">
      <alignment vertical="center"/>
      <protection/>
    </xf>
    <xf numFmtId="10" fontId="30" fillId="0" borderId="124" xfId="68" applyNumberFormat="1" applyFont="1" applyFill="1" applyBorder="1" applyAlignment="1" applyProtection="1">
      <alignment vertical="center"/>
      <protection locked="0"/>
    </xf>
    <xf numFmtId="10" fontId="30" fillId="0" borderId="75" xfId="68" applyNumberFormat="1" applyFont="1" applyFill="1" applyBorder="1" applyAlignment="1" applyProtection="1">
      <alignment vertical="center"/>
      <protection locked="0"/>
    </xf>
    <xf numFmtId="0" fontId="1" fillId="2" borderId="0" xfId="101" applyFill="1">
      <alignment/>
      <protection/>
    </xf>
    <xf numFmtId="3" fontId="66" fillId="2" borderId="24" xfId="101" applyNumberFormat="1" applyFont="1" applyFill="1" applyBorder="1">
      <alignment/>
      <protection/>
    </xf>
    <xf numFmtId="0" fontId="66" fillId="2" borderId="22" xfId="101" applyFont="1" applyFill="1" applyBorder="1" applyAlignment="1">
      <alignment wrapText="1"/>
      <protection/>
    </xf>
    <xf numFmtId="3" fontId="1" fillId="2" borderId="0" xfId="101" applyNumberFormat="1" applyFill="1">
      <alignment/>
      <protection/>
    </xf>
    <xf numFmtId="3" fontId="126" fillId="0" borderId="0" xfId="101" applyNumberFormat="1" applyFont="1" applyFill="1">
      <alignment/>
      <protection/>
    </xf>
    <xf numFmtId="0" fontId="66" fillId="0" borderId="34" xfId="101" applyFont="1" applyBorder="1" applyAlignment="1">
      <alignment wrapText="1"/>
      <protection/>
    </xf>
    <xf numFmtId="3" fontId="1" fillId="54" borderId="0" xfId="101" applyNumberFormat="1" applyFill="1">
      <alignment/>
      <protection/>
    </xf>
    <xf numFmtId="3" fontId="1" fillId="54" borderId="0" xfId="101" applyNumberFormat="1" applyFill="1" applyAlignment="1">
      <alignment vertical="center"/>
      <protection/>
    </xf>
    <xf numFmtId="3" fontId="1" fillId="54" borderId="24" xfId="101" applyNumberFormat="1" applyFont="1" applyFill="1" applyBorder="1">
      <alignment/>
      <protection/>
    </xf>
    <xf numFmtId="3" fontId="66" fillId="58" borderId="0" xfId="101" applyNumberFormat="1" applyFont="1" applyFill="1">
      <alignment/>
      <protection/>
    </xf>
    <xf numFmtId="0" fontId="66" fillId="58" borderId="23" xfId="101" applyFont="1" applyFill="1" applyBorder="1">
      <alignment/>
      <protection/>
    </xf>
    <xf numFmtId="3" fontId="66" fillId="58" borderId="52" xfId="101" applyNumberFormat="1" applyFont="1" applyFill="1" applyBorder="1" applyAlignment="1">
      <alignment horizontal="right"/>
      <protection/>
    </xf>
    <xf numFmtId="165" fontId="66" fillId="58" borderId="41" xfId="101" applyNumberFormat="1" applyFont="1" applyFill="1" applyBorder="1" applyAlignment="1">
      <alignment horizontal="right"/>
      <protection/>
    </xf>
    <xf numFmtId="0" fontId="58" fillId="58" borderId="0" xfId="101" applyFont="1" applyFill="1" applyAlignment="1">
      <alignment vertical="center"/>
      <protection/>
    </xf>
    <xf numFmtId="0" fontId="66" fillId="58" borderId="56" xfId="101" applyFont="1" applyFill="1" applyBorder="1">
      <alignment/>
      <protection/>
    </xf>
    <xf numFmtId="3" fontId="66" fillId="58" borderId="53" xfId="101" applyNumberFormat="1" applyFont="1" applyFill="1" applyBorder="1" applyAlignment="1">
      <alignment horizontal="right"/>
      <protection/>
    </xf>
    <xf numFmtId="0" fontId="1" fillId="58" borderId="0" xfId="101" applyFill="1">
      <alignment/>
      <protection/>
    </xf>
    <xf numFmtId="0" fontId="66" fillId="58" borderId="62" xfId="101" applyFont="1" applyFill="1" applyBorder="1">
      <alignment/>
      <protection/>
    </xf>
    <xf numFmtId="3" fontId="66" fillId="58" borderId="52" xfId="101" applyNumberFormat="1" applyFont="1" applyFill="1" applyBorder="1">
      <alignment/>
      <protection/>
    </xf>
    <xf numFmtId="3" fontId="66" fillId="58" borderId="24" xfId="101" applyNumberFormat="1" applyFont="1" applyFill="1" applyBorder="1">
      <alignment/>
      <protection/>
    </xf>
    <xf numFmtId="0" fontId="66" fillId="58" borderId="0" xfId="101" applyFont="1" applyFill="1">
      <alignment/>
      <protection/>
    </xf>
    <xf numFmtId="165" fontId="1" fillId="0" borderId="0" xfId="101" applyNumberFormat="1" applyFill="1">
      <alignment/>
      <protection/>
    </xf>
    <xf numFmtId="3" fontId="126" fillId="2" borderId="0" xfId="101" applyNumberFormat="1" applyFont="1" applyFill="1">
      <alignment/>
      <protection/>
    </xf>
    <xf numFmtId="165" fontId="66" fillId="54" borderId="41" xfId="101" applyNumberFormat="1" applyFont="1" applyFill="1" applyBorder="1" applyAlignment="1">
      <alignment horizontal="right"/>
      <protection/>
    </xf>
    <xf numFmtId="169" fontId="53" fillId="2" borderId="27" xfId="0" applyNumberFormat="1" applyFont="1" applyFill="1" applyBorder="1" applyAlignment="1" applyProtection="1">
      <alignment horizontal="right" vertical="center" wrapText="1" indent="1"/>
      <protection/>
    </xf>
    <xf numFmtId="0" fontId="49" fillId="0" borderId="61" xfId="0" applyFont="1" applyFill="1" applyBorder="1" applyAlignment="1" applyProtection="1">
      <alignment horizontal="center" vertical="center" wrapText="1"/>
      <protection/>
    </xf>
    <xf numFmtId="169" fontId="49" fillId="0" borderId="65" xfId="0" applyNumberFormat="1" applyFont="1" applyFill="1" applyBorder="1" applyAlignment="1" applyProtection="1">
      <alignment horizontal="center" vertical="center" wrapText="1"/>
      <protection/>
    </xf>
    <xf numFmtId="169" fontId="53" fillId="0" borderId="61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72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69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64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65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71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2" borderId="61" xfId="0" applyNumberFormat="1" applyFont="1" applyFill="1" applyBorder="1" applyAlignment="1" applyProtection="1">
      <alignment horizontal="right" vertical="center" wrapText="1" indent="1"/>
      <protection/>
    </xf>
    <xf numFmtId="169" fontId="49" fillId="0" borderId="44" xfId="0" applyNumberFormat="1" applyFont="1" applyFill="1" applyBorder="1" applyAlignment="1" applyProtection="1">
      <alignment horizontal="center" vertical="center" wrapText="1"/>
      <protection/>
    </xf>
    <xf numFmtId="169" fontId="5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4" borderId="61" xfId="0" applyNumberFormat="1" applyFont="1" applyFill="1" applyBorder="1" applyAlignment="1" applyProtection="1">
      <alignment horizontal="right" vertical="center" wrapText="1" indent="1"/>
      <protection/>
    </xf>
    <xf numFmtId="169" fontId="53" fillId="4" borderId="27" xfId="0" applyNumberFormat="1" applyFont="1" applyFill="1" applyBorder="1" applyAlignment="1" applyProtection="1">
      <alignment horizontal="right" vertical="center" wrapText="1" indent="1"/>
      <protection/>
    </xf>
    <xf numFmtId="169" fontId="53" fillId="4" borderId="0" xfId="0" applyNumberFormat="1" applyFont="1" applyFill="1" applyBorder="1" applyAlignment="1" applyProtection="1">
      <alignment horizontal="right" vertical="center" wrapText="1" indent="1"/>
      <protection/>
    </xf>
    <xf numFmtId="169" fontId="53" fillId="4" borderId="44" xfId="0" applyNumberFormat="1" applyFont="1" applyFill="1" applyBorder="1" applyAlignment="1" applyProtection="1">
      <alignment horizontal="right" vertical="center" wrapText="1" indent="1"/>
      <protection/>
    </xf>
    <xf numFmtId="169" fontId="0" fillId="0" borderId="60" xfId="0" applyNumberFormat="1" applyFill="1" applyBorder="1" applyAlignment="1" applyProtection="1">
      <alignment horizontal="right" vertical="center" wrapText="1" indent="1"/>
      <protection/>
    </xf>
    <xf numFmtId="169" fontId="45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3" xfId="0" applyFill="1" applyBorder="1" applyAlignment="1" applyProtection="1">
      <alignment horizontal="right" vertical="center" wrapText="1" indent="1"/>
      <protection/>
    </xf>
    <xf numFmtId="3" fontId="2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58" borderId="43" xfId="0" applyNumberFormat="1" applyFont="1" applyFill="1" applyBorder="1" applyAlignment="1" applyProtection="1">
      <alignment horizontal="right" vertical="center" wrapText="1" indent="1"/>
      <protection/>
    </xf>
    <xf numFmtId="169" fontId="53" fillId="58" borderId="61" xfId="0" applyNumberFormat="1" applyFont="1" applyFill="1" applyBorder="1" applyAlignment="1" applyProtection="1">
      <alignment horizontal="right" vertical="center" wrapText="1" indent="1"/>
      <protection/>
    </xf>
    <xf numFmtId="169" fontId="0" fillId="0" borderId="45" xfId="0" applyNumberFormat="1" applyFill="1" applyBorder="1" applyAlignment="1" applyProtection="1">
      <alignment horizontal="right" vertical="center" wrapText="1" indent="1"/>
      <protection/>
    </xf>
    <xf numFmtId="3" fontId="11" fillId="3" borderId="88" xfId="103" applyNumberFormat="1" applyFill="1" applyBorder="1" applyAlignment="1">
      <alignment vertical="center"/>
      <protection/>
    </xf>
    <xf numFmtId="3" fontId="7" fillId="3" borderId="97" xfId="0" applyNumberFormat="1" applyFont="1" applyFill="1" applyBorder="1" applyAlignment="1">
      <alignment vertical="center"/>
    </xf>
    <xf numFmtId="3" fontId="3" fillId="3" borderId="50" xfId="0" applyNumberFormat="1" applyFont="1" applyFill="1" applyBorder="1" applyAlignment="1">
      <alignment horizontal="center" vertical="center" wrapText="1"/>
    </xf>
    <xf numFmtId="10" fontId="45" fillId="0" borderId="27" xfId="0" applyNumberFormat="1" applyFont="1" applyFill="1" applyBorder="1" applyAlignment="1" applyProtection="1">
      <alignment horizontal="right" vertical="center" wrapText="1" indent="1"/>
      <protection/>
    </xf>
    <xf numFmtId="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9" fontId="45" fillId="0" borderId="25" xfId="0" applyNumberFormat="1" applyFont="1" applyFill="1" applyBorder="1" applyAlignment="1" applyProtection="1">
      <alignment horizontal="right" vertical="center" wrapText="1" indent="1"/>
      <protection/>
    </xf>
    <xf numFmtId="169" fontId="53" fillId="4" borderId="27" xfId="0" applyNumberFormat="1" applyFont="1" applyFill="1" applyBorder="1" applyAlignment="1" applyProtection="1">
      <alignment horizontal="right" vertical="center" wrapText="1" indent="1"/>
      <protection/>
    </xf>
    <xf numFmtId="169" fontId="53" fillId="4" borderId="42" xfId="0" applyNumberFormat="1" applyFont="1" applyFill="1" applyBorder="1" applyAlignment="1" applyProtection="1">
      <alignment horizontal="right" vertical="center" wrapText="1" indent="1"/>
      <protection/>
    </xf>
    <xf numFmtId="169" fontId="53" fillId="3" borderId="27" xfId="0" applyNumberFormat="1" applyFont="1" applyFill="1" applyBorder="1" applyAlignment="1" applyProtection="1">
      <alignment horizontal="right" vertical="center" wrapText="1" indent="1"/>
      <protection/>
    </xf>
    <xf numFmtId="169" fontId="53" fillId="3" borderId="42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42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42" xfId="0" applyNumberFormat="1" applyFont="1" applyFill="1" applyBorder="1" applyAlignment="1" applyProtection="1">
      <alignment horizontal="right" vertical="center" wrapText="1" indent="1"/>
      <protection/>
    </xf>
    <xf numFmtId="9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53" xfId="0" applyNumberFormat="1" applyFont="1" applyFill="1" applyBorder="1" applyAlignment="1" applyProtection="1">
      <alignment horizontal="right" vertical="center" wrapText="1" indent="1"/>
      <protection/>
    </xf>
    <xf numFmtId="3" fontId="3" fillId="3" borderId="44" xfId="0" applyNumberFormat="1" applyFont="1" applyFill="1" applyBorder="1" applyAlignment="1">
      <alignment vertical="center"/>
    </xf>
    <xf numFmtId="3" fontId="4" fillId="57" borderId="27" xfId="0" applyNumberFormat="1" applyFont="1" applyFill="1" applyBorder="1" applyAlignment="1">
      <alignment vertical="center"/>
    </xf>
    <xf numFmtId="3" fontId="4" fillId="57" borderId="44" xfId="0" applyNumberFormat="1" applyFont="1" applyFill="1" applyBorder="1" applyAlignment="1">
      <alignment vertical="center"/>
    </xf>
    <xf numFmtId="3" fontId="2" fillId="57" borderId="67" xfId="0" applyNumberFormat="1" applyFont="1" applyFill="1" applyBorder="1" applyAlignment="1">
      <alignment vertical="center"/>
    </xf>
    <xf numFmtId="49" fontId="7" fillId="54" borderId="32" xfId="0" applyNumberFormat="1" applyFont="1" applyFill="1" applyBorder="1" applyAlignment="1">
      <alignment horizontal="left" vertical="center"/>
    </xf>
    <xf numFmtId="49" fontId="7" fillId="54" borderId="33" xfId="0" applyNumberFormat="1" applyFont="1" applyFill="1" applyBorder="1" applyAlignment="1">
      <alignment horizontal="center" vertical="center"/>
    </xf>
    <xf numFmtId="0" fontId="7" fillId="54" borderId="33" xfId="0" applyFont="1" applyFill="1" applyBorder="1" applyAlignment="1">
      <alignment vertical="center" wrapText="1"/>
    </xf>
    <xf numFmtId="3" fontId="7" fillId="54" borderId="19" xfId="0" applyNumberFormat="1" applyFont="1" applyFill="1" applyBorder="1" applyAlignment="1">
      <alignment vertical="center"/>
    </xf>
    <xf numFmtId="3" fontId="7" fillId="54" borderId="24" xfId="0" applyNumberFormat="1" applyFont="1" applyFill="1" applyBorder="1" applyAlignment="1">
      <alignment vertical="center"/>
    </xf>
    <xf numFmtId="3" fontId="7" fillId="54" borderId="25" xfId="0" applyNumberFormat="1" applyFont="1" applyFill="1" applyBorder="1" applyAlignment="1">
      <alignment vertical="center"/>
    </xf>
    <xf numFmtId="3" fontId="7" fillId="54" borderId="70" xfId="0" applyNumberFormat="1" applyFont="1" applyFill="1" applyBorder="1" applyAlignment="1">
      <alignment vertical="center"/>
    </xf>
    <xf numFmtId="3" fontId="7" fillId="54" borderId="88" xfId="0" applyNumberFormat="1" applyFont="1" applyFill="1" applyBorder="1" applyAlignment="1">
      <alignment vertical="center"/>
    </xf>
    <xf numFmtId="0" fontId="2" fillId="54" borderId="0" xfId="0" applyFont="1" applyFill="1" applyAlignment="1">
      <alignment vertical="center"/>
    </xf>
    <xf numFmtId="3" fontId="4" fillId="54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58" borderId="43" xfId="0" applyNumberFormat="1" applyFont="1" applyFill="1" applyBorder="1" applyAlignment="1">
      <alignment vertical="center"/>
    </xf>
    <xf numFmtId="3" fontId="4" fillId="58" borderId="27" xfId="0" applyNumberFormat="1" applyFont="1" applyFill="1" applyBorder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3" fillId="0" borderId="75" xfId="0" applyNumberFormat="1" applyFont="1" applyFill="1" applyBorder="1" applyAlignment="1">
      <alignment vertical="center"/>
    </xf>
    <xf numFmtId="10" fontId="7" fillId="0" borderId="75" xfId="0" applyNumberFormat="1" applyFont="1" applyFill="1" applyBorder="1" applyAlignment="1">
      <alignment vertical="center"/>
    </xf>
    <xf numFmtId="3" fontId="4" fillId="4" borderId="27" xfId="0" applyNumberFormat="1" applyFont="1" applyFill="1" applyBorder="1" applyAlignment="1">
      <alignment vertical="center"/>
    </xf>
    <xf numFmtId="3" fontId="157" fillId="0" borderId="0" xfId="0" applyNumberFormat="1" applyFont="1" applyFill="1" applyAlignment="1">
      <alignment/>
    </xf>
    <xf numFmtId="10" fontId="7" fillId="0" borderId="59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25" xfId="0" applyNumberFormat="1" applyFont="1" applyFill="1" applyBorder="1" applyAlignment="1">
      <alignment horizontal="right" vertical="center" wrapText="1"/>
    </xf>
    <xf numFmtId="10" fontId="7" fillId="0" borderId="58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4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89" xfId="103" applyNumberFormat="1" applyFill="1" applyBorder="1" applyAlignment="1">
      <alignment vertical="center"/>
      <protection/>
    </xf>
    <xf numFmtId="3" fontId="11" fillId="4" borderId="88" xfId="103" applyNumberFormat="1" applyFill="1" applyBorder="1" applyAlignment="1">
      <alignment vertical="center"/>
      <protection/>
    </xf>
    <xf numFmtId="3" fontId="11" fillId="4" borderId="30" xfId="103" applyNumberFormat="1" applyFill="1" applyBorder="1" applyAlignment="1">
      <alignment vertical="center"/>
      <protection/>
    </xf>
    <xf numFmtId="3" fontId="127" fillId="0" borderId="0" xfId="103" applyNumberFormat="1" applyFont="1" applyAlignment="1">
      <alignment vertical="center"/>
      <protection/>
    </xf>
    <xf numFmtId="165" fontId="11" fillId="0" borderId="0" xfId="68" applyFont="1" applyAlignment="1">
      <alignment vertical="center"/>
    </xf>
    <xf numFmtId="165" fontId="128" fillId="0" borderId="0" xfId="68" applyFont="1" applyAlignment="1">
      <alignment vertical="center"/>
    </xf>
    <xf numFmtId="3" fontId="11" fillId="4" borderId="97" xfId="103" applyNumberFormat="1" applyFill="1" applyBorder="1" applyAlignment="1">
      <alignment vertical="center"/>
      <protection/>
    </xf>
    <xf numFmtId="3" fontId="13" fillId="4" borderId="97" xfId="103" applyNumberFormat="1" applyFont="1" applyFill="1" applyBorder="1" applyAlignment="1">
      <alignment vertical="center"/>
      <protection/>
    </xf>
    <xf numFmtId="3" fontId="11" fillId="4" borderId="97" xfId="103" applyNumberFormat="1" applyFont="1" applyFill="1" applyBorder="1" applyAlignment="1">
      <alignment vertical="center"/>
      <protection/>
    </xf>
    <xf numFmtId="10" fontId="11" fillId="0" borderId="26" xfId="103" applyNumberFormat="1" applyBorder="1" applyAlignment="1">
      <alignment vertical="center"/>
      <protection/>
    </xf>
    <xf numFmtId="10" fontId="11" fillId="0" borderId="45" xfId="103" applyNumberFormat="1" applyBorder="1" applyAlignment="1">
      <alignment vertical="center"/>
      <protection/>
    </xf>
    <xf numFmtId="10" fontId="13" fillId="0" borderId="22" xfId="103" applyNumberFormat="1" applyFont="1" applyBorder="1" applyAlignment="1">
      <alignment vertical="center"/>
      <protection/>
    </xf>
    <xf numFmtId="10" fontId="11" fillId="0" borderId="49" xfId="103" applyNumberFormat="1" applyBorder="1" applyAlignment="1">
      <alignment vertical="center"/>
      <protection/>
    </xf>
    <xf numFmtId="10" fontId="11" fillId="0" borderId="19" xfId="103" applyNumberFormat="1" applyBorder="1" applyAlignment="1">
      <alignment vertical="center"/>
      <protection/>
    </xf>
    <xf numFmtId="10" fontId="11" fillId="0" borderId="23" xfId="103" applyNumberFormat="1" applyBorder="1" applyAlignment="1">
      <alignment vertical="center"/>
      <protection/>
    </xf>
    <xf numFmtId="10" fontId="13" fillId="0" borderId="43" xfId="103" applyNumberFormat="1" applyFont="1" applyBorder="1" applyAlignment="1">
      <alignment vertical="center"/>
      <protection/>
    </xf>
    <xf numFmtId="3" fontId="3" fillId="4" borderId="50" xfId="0" applyNumberFormat="1" applyFont="1" applyFill="1" applyBorder="1" applyAlignment="1">
      <alignment vertical="center"/>
    </xf>
    <xf numFmtId="3" fontId="3" fillId="5" borderId="44" xfId="0" applyNumberFormat="1" applyFont="1" applyFill="1" applyBorder="1" applyAlignment="1">
      <alignment vertical="center"/>
    </xf>
    <xf numFmtId="3" fontId="3" fillId="3" borderId="50" xfId="0" applyNumberFormat="1" applyFont="1" applyFill="1" applyBorder="1" applyAlignment="1">
      <alignment vertical="center"/>
    </xf>
    <xf numFmtId="10" fontId="3" fillId="0" borderId="43" xfId="0" applyNumberFormat="1" applyFont="1" applyFill="1" applyBorder="1" applyAlignment="1">
      <alignment vertical="center"/>
    </xf>
    <xf numFmtId="10" fontId="7" fillId="0" borderId="125" xfId="0" applyNumberFormat="1" applyFont="1" applyFill="1" applyBorder="1" applyAlignment="1">
      <alignment vertical="center"/>
    </xf>
    <xf numFmtId="10" fontId="7" fillId="0" borderId="76" xfId="0" applyNumberFormat="1" applyFont="1" applyFill="1" applyBorder="1" applyAlignment="1">
      <alignment vertical="center"/>
    </xf>
    <xf numFmtId="10" fontId="7" fillId="0" borderId="57" xfId="0" applyNumberFormat="1" applyFont="1" applyFill="1" applyBorder="1" applyAlignment="1">
      <alignment vertical="center"/>
    </xf>
    <xf numFmtId="10" fontId="7" fillId="0" borderId="25" xfId="0" applyNumberFormat="1" applyFont="1" applyFill="1" applyBorder="1" applyAlignment="1">
      <alignment vertical="center"/>
    </xf>
    <xf numFmtId="3" fontId="3" fillId="54" borderId="43" xfId="0" applyNumberFormat="1" applyFont="1" applyFill="1" applyBorder="1" applyAlignment="1">
      <alignment horizontal="right" vertical="center" wrapText="1"/>
    </xf>
    <xf numFmtId="3" fontId="7" fillId="54" borderId="24" xfId="0" applyNumberFormat="1" applyFont="1" applyFill="1" applyBorder="1" applyAlignment="1">
      <alignment horizontal="right" vertical="center"/>
    </xf>
    <xf numFmtId="10" fontId="3" fillId="49" borderId="27" xfId="0" applyNumberFormat="1" applyFont="1" applyFill="1" applyBorder="1" applyAlignment="1">
      <alignment horizontal="right" vertical="center" wrapText="1"/>
    </xf>
    <xf numFmtId="10" fontId="7" fillId="49" borderId="47" xfId="0" applyNumberFormat="1" applyFont="1" applyFill="1" applyBorder="1" applyAlignment="1">
      <alignment horizontal="right" vertical="center" wrapText="1"/>
    </xf>
    <xf numFmtId="3" fontId="7" fillId="49" borderId="28" xfId="0" applyNumberFormat="1" applyFont="1" applyFill="1" applyBorder="1" applyAlignment="1">
      <alignment horizontal="right" vertical="center" wrapText="1"/>
    </xf>
    <xf numFmtId="10" fontId="7" fillId="49" borderId="25" xfId="0" applyNumberFormat="1" applyFont="1" applyFill="1" applyBorder="1" applyAlignment="1">
      <alignment horizontal="right" vertical="center" wrapText="1"/>
    </xf>
    <xf numFmtId="3" fontId="7" fillId="0" borderId="53" xfId="0" applyNumberFormat="1" applyFont="1" applyFill="1" applyBorder="1" applyAlignment="1">
      <alignment vertical="center"/>
    </xf>
    <xf numFmtId="10" fontId="3" fillId="49" borderId="47" xfId="0" applyNumberFormat="1" applyFont="1" applyFill="1" applyBorder="1" applyAlignment="1">
      <alignment horizontal="right" vertical="center" wrapText="1"/>
    </xf>
    <xf numFmtId="10" fontId="7" fillId="49" borderId="58" xfId="0" applyNumberFormat="1" applyFont="1" applyFill="1" applyBorder="1" applyAlignment="1">
      <alignment horizontal="right" vertical="center" wrapText="1"/>
    </xf>
    <xf numFmtId="10" fontId="7" fillId="49" borderId="59" xfId="0" applyNumberFormat="1" applyFont="1" applyFill="1" applyBorder="1" applyAlignment="1">
      <alignment horizontal="right" vertical="center" wrapText="1"/>
    </xf>
    <xf numFmtId="3" fontId="7" fillId="49" borderId="59" xfId="0" applyNumberFormat="1" applyFont="1" applyFill="1" applyBorder="1" applyAlignment="1">
      <alignment horizontal="right" vertical="center" wrapText="1"/>
    </xf>
    <xf numFmtId="0" fontId="0" fillId="0" borderId="41" xfId="0" applyBorder="1" applyAlignment="1">
      <alignment horizontal="center" vertical="center"/>
    </xf>
    <xf numFmtId="165" fontId="66" fillId="0" borderId="28" xfId="101" applyNumberFormat="1" applyFont="1" applyFill="1" applyBorder="1" applyAlignment="1">
      <alignment horizontal="center" vertical="center"/>
      <protection/>
    </xf>
    <xf numFmtId="0" fontId="23" fillId="0" borderId="0" xfId="101" applyFont="1" applyFill="1" applyBorder="1" applyAlignment="1" applyProtection="1">
      <alignment horizontal="center" vertical="center" wrapText="1"/>
      <protection/>
    </xf>
    <xf numFmtId="0" fontId="87" fillId="0" borderId="0" xfId="101" applyFont="1" applyFill="1" applyAlignment="1">
      <alignment horizontal="right" vertical="center"/>
      <protection/>
    </xf>
    <xf numFmtId="0" fontId="87" fillId="0" borderId="55" xfId="101" applyFont="1" applyFill="1" applyBorder="1" applyAlignment="1">
      <alignment horizontal="right"/>
      <protection/>
    </xf>
    <xf numFmtId="0" fontId="0" fillId="0" borderId="53" xfId="0" applyBorder="1" applyAlignment="1">
      <alignment horizontal="center" vertical="center"/>
    </xf>
    <xf numFmtId="165" fontId="66" fillId="0" borderId="28" xfId="101" applyNumberFormat="1" applyFont="1" applyBorder="1" applyAlignment="1">
      <alignment horizontal="center" vertical="center"/>
      <protection/>
    </xf>
    <xf numFmtId="170" fontId="29" fillId="0" borderId="0" xfId="106" applyNumberFormat="1" applyFont="1" applyFill="1" applyAlignment="1">
      <alignment vertical="center"/>
      <protection/>
    </xf>
    <xf numFmtId="169" fontId="45" fillId="54" borderId="76" xfId="97" applyNumberFormat="1" applyFont="1" applyFill="1" applyBorder="1" applyAlignment="1" applyProtection="1">
      <alignment horizontal="left" vertical="center" wrapText="1" indent="1"/>
      <protection locked="0"/>
    </xf>
    <xf numFmtId="49" fontId="110" fillId="54" borderId="40" xfId="97" applyNumberFormat="1" applyFont="1" applyFill="1" applyBorder="1" applyAlignment="1" applyProtection="1">
      <alignment horizontal="center" vertical="center" wrapText="1"/>
      <protection locked="0"/>
    </xf>
    <xf numFmtId="169" fontId="110" fillId="54" borderId="126" xfId="97" applyNumberFormat="1" applyFont="1" applyFill="1" applyBorder="1" applyAlignment="1" applyProtection="1">
      <alignment vertical="center" wrapText="1"/>
      <protection locked="0"/>
    </xf>
    <xf numFmtId="169" fontId="110" fillId="54" borderId="23" xfId="97" applyNumberFormat="1" applyFont="1" applyFill="1" applyBorder="1" applyAlignment="1" applyProtection="1">
      <alignment vertical="center" wrapText="1"/>
      <protection locked="0"/>
    </xf>
    <xf numFmtId="169" fontId="110" fillId="54" borderId="20" xfId="97" applyNumberFormat="1" applyFont="1" applyFill="1" applyBorder="1" applyAlignment="1" applyProtection="1">
      <alignment vertical="center" wrapText="1"/>
      <protection locked="0"/>
    </xf>
    <xf numFmtId="169" fontId="110" fillId="54" borderId="21" xfId="97" applyNumberFormat="1" applyFont="1" applyFill="1" applyBorder="1" applyAlignment="1" applyProtection="1">
      <alignment vertical="center" wrapText="1"/>
      <protection locked="0"/>
    </xf>
    <xf numFmtId="169" fontId="45" fillId="54" borderId="126" xfId="97" applyNumberFormat="1" applyFont="1" applyFill="1" applyBorder="1" applyAlignment="1">
      <alignment vertical="center" wrapText="1"/>
      <protection/>
    </xf>
    <xf numFmtId="169" fontId="59" fillId="54" borderId="0" xfId="97" applyNumberFormat="1" applyFill="1" applyAlignment="1">
      <alignment vertical="center" wrapText="1"/>
      <protection/>
    </xf>
    <xf numFmtId="0" fontId="32" fillId="0" borderId="30" xfId="103" applyFont="1" applyFill="1" applyBorder="1" applyAlignment="1">
      <alignment vertical="center" wrapText="1"/>
      <protection/>
    </xf>
    <xf numFmtId="3" fontId="93" fillId="0" borderId="28" xfId="101" applyNumberFormat="1" applyFont="1" applyFill="1" applyBorder="1" applyAlignment="1">
      <alignment horizontal="right"/>
      <protection/>
    </xf>
    <xf numFmtId="3" fontId="1" fillId="0" borderId="28" xfId="101" applyNumberFormat="1" applyFont="1" applyFill="1" applyBorder="1" applyAlignment="1">
      <alignment horizontal="right"/>
      <protection/>
    </xf>
    <xf numFmtId="0" fontId="93" fillId="0" borderId="24" xfId="0" applyFont="1" applyBorder="1" applyAlignment="1">
      <alignment horizontal="right"/>
    </xf>
    <xf numFmtId="3" fontId="1" fillId="0" borderId="28" xfId="101" applyNumberFormat="1" applyFont="1" applyFill="1" applyBorder="1" applyAlignment="1">
      <alignment horizontal="right"/>
      <protection/>
    </xf>
    <xf numFmtId="0" fontId="93" fillId="0" borderId="41" xfId="0" applyFont="1" applyBorder="1" applyAlignment="1">
      <alignment horizontal="right"/>
    </xf>
    <xf numFmtId="10" fontId="76" fillId="0" borderId="25" xfId="105" applyNumberFormat="1" applyFont="1" applyFill="1" applyBorder="1" applyAlignment="1">
      <alignment/>
      <protection/>
    </xf>
    <xf numFmtId="10" fontId="76" fillId="0" borderId="25" xfId="105" applyNumberFormat="1" applyFont="1" applyFill="1" applyBorder="1" applyAlignment="1">
      <alignment horizontal="right"/>
      <protection/>
    </xf>
    <xf numFmtId="10" fontId="76" fillId="0" borderId="44" xfId="105" applyNumberFormat="1" applyFont="1" applyFill="1" applyBorder="1" applyAlignment="1">
      <alignment vertical="center"/>
      <protection/>
    </xf>
    <xf numFmtId="0" fontId="12" fillId="0" borderId="0" xfId="103" applyFont="1" applyFill="1" applyBorder="1" applyAlignment="1">
      <alignment horizontal="center" vertical="center"/>
      <protection/>
    </xf>
    <xf numFmtId="3" fontId="12" fillId="0" borderId="0" xfId="103" applyNumberFormat="1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54" xfId="0" applyFont="1" applyBorder="1" applyAlignment="1">
      <alignment horizontal="left" wrapText="1"/>
    </xf>
    <xf numFmtId="0" fontId="7" fillId="0" borderId="127" xfId="0" applyFont="1" applyBorder="1" applyAlignment="1">
      <alignment horizontal="left" wrapText="1"/>
    </xf>
    <xf numFmtId="0" fontId="7" fillId="0" borderId="70" xfId="0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9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4" xfId="0" applyFont="1" applyFill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wrapText="1"/>
    </xf>
    <xf numFmtId="0" fontId="7" fillId="0" borderId="33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6" xfId="0" applyFont="1" applyBorder="1" applyAlignment="1">
      <alignment horizontal="left" wrapText="1"/>
    </xf>
    <xf numFmtId="0" fontId="7" fillId="0" borderId="92" xfId="0" applyFont="1" applyBorder="1" applyAlignment="1">
      <alignment horizontal="left" wrapText="1"/>
    </xf>
    <xf numFmtId="49" fontId="40" fillId="0" borderId="0" xfId="0" applyNumberFormat="1" applyFont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0" fontId="29" fillId="0" borderId="72" xfId="106" applyFont="1" applyFill="1" applyBorder="1" applyAlignment="1" applyProtection="1">
      <alignment horizontal="left" vertical="center" wrapText="1"/>
      <protection/>
    </xf>
    <xf numFmtId="0" fontId="29" fillId="0" borderId="54" xfId="106" applyFont="1" applyFill="1" applyBorder="1" applyAlignment="1" applyProtection="1">
      <alignment horizontal="left" vertical="center" wrapText="1"/>
      <protection/>
    </xf>
    <xf numFmtId="0" fontId="29" fillId="0" borderId="89" xfId="106" applyFont="1" applyFill="1" applyBorder="1" applyAlignment="1" applyProtection="1">
      <alignment horizontal="left" vertical="center" wrapText="1"/>
      <protection/>
    </xf>
    <xf numFmtId="49" fontId="7" fillId="0" borderId="65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 vertical="center"/>
    </xf>
    <xf numFmtId="169" fontId="60" fillId="0" borderId="55" xfId="106" applyNumberFormat="1" applyFont="1" applyFill="1" applyBorder="1" applyAlignment="1" applyProtection="1">
      <alignment horizontal="left" vertical="center"/>
      <protection/>
    </xf>
    <xf numFmtId="0" fontId="46" fillId="0" borderId="0" xfId="106" applyFont="1" applyFill="1" applyAlignment="1">
      <alignment horizontal="center"/>
      <protection/>
    </xf>
    <xf numFmtId="0" fontId="7" fillId="0" borderId="33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/>
    </xf>
    <xf numFmtId="0" fontId="43" fillId="0" borderId="20" xfId="106" applyFont="1" applyFill="1" applyBorder="1" applyAlignment="1">
      <alignment horizontal="left"/>
      <protection/>
    </xf>
    <xf numFmtId="0" fontId="29" fillId="0" borderId="64" xfId="106" applyFont="1" applyFill="1" applyBorder="1" applyAlignment="1" applyProtection="1">
      <alignment horizontal="left" vertical="center" wrapText="1"/>
      <protection/>
    </xf>
    <xf numFmtId="0" fontId="29" fillId="0" borderId="33" xfId="106" applyFont="1" applyFill="1" applyBorder="1" applyAlignment="1" applyProtection="1">
      <alignment horizontal="left" vertical="center" wrapText="1"/>
      <protection/>
    </xf>
    <xf numFmtId="0" fontId="29" fillId="0" borderId="88" xfId="106" applyFont="1" applyFill="1" applyBorder="1" applyAlignment="1" applyProtection="1">
      <alignment horizontal="left" vertical="center" wrapText="1"/>
      <protection/>
    </xf>
    <xf numFmtId="0" fontId="29" fillId="0" borderId="74" xfId="106" applyFont="1" applyFill="1" applyBorder="1" applyAlignment="1" applyProtection="1">
      <alignment horizontal="left" vertical="center" wrapText="1"/>
      <protection/>
    </xf>
    <xf numFmtId="0" fontId="29" fillId="0" borderId="66" xfId="106" applyFont="1" applyFill="1" applyBorder="1" applyAlignment="1" applyProtection="1">
      <alignment horizontal="left" vertical="center" wrapText="1"/>
      <protection/>
    </xf>
    <xf numFmtId="0" fontId="29" fillId="0" borderId="91" xfId="106" applyFont="1" applyFill="1" applyBorder="1" applyAlignment="1" applyProtection="1">
      <alignment horizontal="left" vertical="center" wrapText="1"/>
      <protection/>
    </xf>
    <xf numFmtId="0" fontId="27" fillId="0" borderId="46" xfId="106" applyFont="1" applyFill="1" applyBorder="1" applyAlignment="1">
      <alignment horizontal="left"/>
      <protection/>
    </xf>
    <xf numFmtId="0" fontId="29" fillId="0" borderId="24" xfId="106" applyFont="1" applyFill="1" applyBorder="1" applyAlignment="1">
      <alignment horizontal="left"/>
      <protection/>
    </xf>
    <xf numFmtId="0" fontId="43" fillId="0" borderId="24" xfId="106" applyFont="1" applyFill="1" applyBorder="1" applyAlignment="1">
      <alignment horizontal="left"/>
      <protection/>
    </xf>
    <xf numFmtId="0" fontId="46" fillId="0" borderId="0" xfId="106" applyFont="1" applyFill="1" applyAlignment="1">
      <alignment horizontal="center" wrapText="1"/>
      <protection/>
    </xf>
    <xf numFmtId="0" fontId="46" fillId="0" borderId="0" xfId="106" applyFont="1" applyFill="1" applyBorder="1" applyAlignment="1">
      <alignment horizontal="center" wrapText="1"/>
      <protection/>
    </xf>
    <xf numFmtId="0" fontId="60" fillId="0" borderId="0" xfId="106" applyFont="1" applyFill="1" applyBorder="1" applyAlignment="1">
      <alignment horizontal="left"/>
      <protection/>
    </xf>
    <xf numFmtId="0" fontId="27" fillId="0" borderId="61" xfId="106" applyFont="1" applyFill="1" applyBorder="1" applyAlignment="1" applyProtection="1">
      <alignment horizontal="left" vertical="center" wrapText="1"/>
      <protection/>
    </xf>
    <xf numFmtId="0" fontId="27" fillId="0" borderId="38" xfId="106" applyFont="1" applyFill="1" applyBorder="1" applyAlignment="1" applyProtection="1">
      <alignment horizontal="left" vertical="center" wrapText="1"/>
      <protection/>
    </xf>
    <xf numFmtId="0" fontId="27" fillId="0" borderId="50" xfId="106" applyFont="1" applyFill="1" applyBorder="1" applyAlignment="1" applyProtection="1">
      <alignment horizontal="left" vertical="center" wrapText="1"/>
      <protection/>
    </xf>
    <xf numFmtId="169" fontId="60" fillId="0" borderId="0" xfId="106" applyNumberFormat="1" applyFont="1" applyFill="1" applyBorder="1" applyAlignment="1" applyProtection="1">
      <alignment horizontal="left" vertical="center"/>
      <protection/>
    </xf>
    <xf numFmtId="0" fontId="29" fillId="0" borderId="73" xfId="106" applyFont="1" applyFill="1" applyBorder="1" applyAlignment="1" applyProtection="1">
      <alignment horizontal="left" vertical="center" wrapText="1"/>
      <protection/>
    </xf>
    <xf numFmtId="0" fontId="29" fillId="0" borderId="55" xfId="106" applyFont="1" applyFill="1" applyBorder="1" applyAlignment="1" applyProtection="1">
      <alignment horizontal="left" vertical="center" wrapText="1"/>
      <protection/>
    </xf>
    <xf numFmtId="0" fontId="29" fillId="0" borderId="90" xfId="106" applyFont="1" applyFill="1" applyBorder="1" applyAlignment="1" applyProtection="1">
      <alignment horizontal="left" vertical="center" wrapText="1"/>
      <protection/>
    </xf>
    <xf numFmtId="0" fontId="21" fillId="0" borderId="0" xfId="103" applyFont="1" applyAlignment="1">
      <alignment horizontal="center" vertical="center"/>
      <protection/>
    </xf>
    <xf numFmtId="0" fontId="22" fillId="0" borderId="55" xfId="103" applyFont="1" applyBorder="1" applyAlignment="1">
      <alignment horizontal="center" vertical="center"/>
      <protection/>
    </xf>
    <xf numFmtId="0" fontId="22" fillId="0" borderId="0" xfId="103" applyFont="1" applyBorder="1" applyAlignment="1">
      <alignment horizontal="center" vertical="center"/>
      <protection/>
    </xf>
    <xf numFmtId="0" fontId="89" fillId="0" borderId="0" xfId="103" applyFont="1" applyAlignment="1">
      <alignment horizontal="right" vertical="center"/>
      <protection/>
    </xf>
    <xf numFmtId="3" fontId="90" fillId="0" borderId="0" xfId="0" applyNumberFormat="1" applyFont="1" applyFill="1" applyAlignment="1">
      <alignment horizontal="right"/>
    </xf>
    <xf numFmtId="0" fontId="7" fillId="0" borderId="66" xfId="0" applyFont="1" applyFill="1" applyBorder="1" applyAlignment="1">
      <alignment horizontal="left" wrapText="1"/>
    </xf>
    <xf numFmtId="0" fontId="7" fillId="0" borderId="54" xfId="0" applyFont="1" applyFill="1" applyBorder="1" applyAlignment="1">
      <alignment horizontal="left" wrapText="1"/>
    </xf>
    <xf numFmtId="49" fontId="40" fillId="0" borderId="0" xfId="0" applyNumberFormat="1" applyFont="1" applyFill="1" applyAlignment="1">
      <alignment horizontal="center" vertical="center"/>
    </xf>
    <xf numFmtId="0" fontId="7" fillId="0" borderId="3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left" vertical="center"/>
    </xf>
    <xf numFmtId="49" fontId="7" fillId="0" borderId="38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3" fontId="91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49" fontId="7" fillId="0" borderId="66" xfId="0" applyNumberFormat="1" applyFont="1" applyBorder="1" applyAlignment="1">
      <alignment horizontal="left" vertical="center" wrapText="1"/>
    </xf>
    <xf numFmtId="49" fontId="7" fillId="0" borderId="92" xfId="0" applyNumberFormat="1" applyFont="1" applyBorder="1" applyAlignment="1">
      <alignment horizontal="left" vertical="center" wrapText="1"/>
    </xf>
    <xf numFmtId="169" fontId="83" fillId="0" borderId="0" xfId="0" applyNumberFormat="1" applyFont="1" applyFill="1" applyAlignment="1">
      <alignment horizontal="right" vertical="center" wrapText="1"/>
    </xf>
    <xf numFmtId="0" fontId="49" fillId="0" borderId="31" xfId="0" applyFont="1" applyFill="1" applyBorder="1" applyAlignment="1" applyProtection="1">
      <alignment horizontal="center" vertical="center" wrapText="1"/>
      <protection/>
    </xf>
    <xf numFmtId="0" fontId="49" fillId="0" borderId="5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49" fillId="0" borderId="43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49" fillId="0" borderId="44" xfId="0" applyFont="1" applyFill="1" applyBorder="1" applyAlignment="1" applyProtection="1">
      <alignment horizontal="center" vertical="center" wrapText="1"/>
      <protection/>
    </xf>
    <xf numFmtId="0" fontId="49" fillId="0" borderId="61" xfId="0" applyFont="1" applyFill="1" applyBorder="1" applyAlignment="1" applyProtection="1">
      <alignment horizontal="center" vertical="center" wrapText="1"/>
      <protection/>
    </xf>
    <xf numFmtId="0" fontId="28" fillId="0" borderId="43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16" fillId="0" borderId="43" xfId="103" applyFont="1" applyFill="1" applyBorder="1" applyAlignment="1">
      <alignment horizontal="center" vertical="center"/>
      <protection/>
    </xf>
    <xf numFmtId="0" fontId="16" fillId="0" borderId="27" xfId="103" applyFont="1" applyFill="1" applyBorder="1" applyAlignment="1">
      <alignment horizontal="center" vertical="center"/>
      <protection/>
    </xf>
    <xf numFmtId="0" fontId="16" fillId="0" borderId="44" xfId="103" applyFont="1" applyFill="1" applyBorder="1" applyAlignment="1">
      <alignment horizontal="center" vertical="center"/>
      <protection/>
    </xf>
    <xf numFmtId="0" fontId="12" fillId="0" borderId="31" xfId="103" applyFont="1" applyFill="1" applyBorder="1" applyAlignment="1">
      <alignment horizontal="center" vertical="center"/>
      <protection/>
    </xf>
    <xf numFmtId="0" fontId="12" fillId="0" borderId="50" xfId="103" applyFont="1" applyFill="1" applyBorder="1" applyAlignment="1">
      <alignment horizontal="center" vertical="center"/>
      <protection/>
    </xf>
    <xf numFmtId="3" fontId="16" fillId="0" borderId="43" xfId="103" applyNumberFormat="1" applyFont="1" applyFill="1" applyBorder="1" applyAlignment="1">
      <alignment horizontal="center" vertical="center"/>
      <protection/>
    </xf>
    <xf numFmtId="3" fontId="16" fillId="0" borderId="27" xfId="103" applyNumberFormat="1" applyFont="1" applyFill="1" applyBorder="1" applyAlignment="1">
      <alignment horizontal="center" vertical="center"/>
      <protection/>
    </xf>
    <xf numFmtId="3" fontId="16" fillId="0" borderId="44" xfId="103" applyNumberFormat="1" applyFont="1" applyFill="1" applyBorder="1" applyAlignment="1">
      <alignment horizontal="center" vertical="center"/>
      <protection/>
    </xf>
    <xf numFmtId="0" fontId="12" fillId="0" borderId="38" xfId="103" applyFont="1" applyFill="1" applyBorder="1" applyAlignment="1">
      <alignment horizontal="center" vertical="center"/>
      <protection/>
    </xf>
    <xf numFmtId="0" fontId="14" fillId="0" borderId="0" xfId="103" applyFont="1" applyFill="1" applyAlignment="1">
      <alignment horizontal="center" vertical="center"/>
      <protection/>
    </xf>
    <xf numFmtId="0" fontId="12" fillId="0" borderId="55" xfId="103" applyFont="1" applyFill="1" applyBorder="1" applyAlignment="1">
      <alignment horizontal="right" vertical="center"/>
      <protection/>
    </xf>
    <xf numFmtId="0" fontId="3" fillId="0" borderId="43" xfId="103" applyFont="1" applyFill="1" applyBorder="1" applyAlignment="1">
      <alignment horizontal="center" vertical="center"/>
      <protection/>
    </xf>
    <xf numFmtId="0" fontId="3" fillId="0" borderId="27" xfId="103" applyFont="1" applyFill="1" applyBorder="1" applyAlignment="1">
      <alignment horizontal="center" vertical="center"/>
      <protection/>
    </xf>
    <xf numFmtId="0" fontId="18" fillId="0" borderId="0" xfId="103" applyFont="1" applyFill="1" applyBorder="1" applyAlignment="1">
      <alignment horizontal="center"/>
      <protection/>
    </xf>
    <xf numFmtId="0" fontId="12" fillId="0" borderId="0" xfId="103" applyFont="1" applyFill="1" applyBorder="1" applyAlignment="1">
      <alignment horizontal="center"/>
      <protection/>
    </xf>
    <xf numFmtId="0" fontId="17" fillId="0" borderId="0" xfId="103" applyFont="1" applyFill="1" applyAlignment="1">
      <alignment horizontal="right"/>
      <protection/>
    </xf>
    <xf numFmtId="0" fontId="17" fillId="0" borderId="55" xfId="103" applyFont="1" applyFill="1" applyBorder="1" applyAlignment="1">
      <alignment horizontal="right"/>
      <protection/>
    </xf>
    <xf numFmtId="0" fontId="77" fillId="0" borderId="38" xfId="105" applyFont="1" applyBorder="1" applyAlignment="1">
      <alignment horizontal="center" vertical="center" wrapText="1"/>
      <protection/>
    </xf>
    <xf numFmtId="168" fontId="75" fillId="0" borderId="64" xfId="105" applyNumberFormat="1" applyFont="1" applyBorder="1" applyAlignment="1">
      <alignment horizontal="left" wrapText="1"/>
      <protection/>
    </xf>
    <xf numFmtId="168" fontId="75" fillId="0" borderId="70" xfId="105" applyNumberFormat="1" applyFont="1" applyBorder="1" applyAlignment="1">
      <alignment horizontal="left" wrapText="1"/>
      <protection/>
    </xf>
    <xf numFmtId="168" fontId="75" fillId="0" borderId="33" xfId="105" applyNumberFormat="1" applyFont="1" applyBorder="1" applyAlignment="1">
      <alignment horizontal="left" wrapText="1"/>
      <protection/>
    </xf>
    <xf numFmtId="168" fontId="75" fillId="0" borderId="74" xfId="105" applyNumberFormat="1" applyFont="1" applyBorder="1" applyAlignment="1">
      <alignment horizontal="left" wrapText="1"/>
      <protection/>
    </xf>
    <xf numFmtId="168" fontId="75" fillId="0" borderId="66" xfId="105" applyNumberFormat="1" applyFont="1" applyBorder="1" applyAlignment="1">
      <alignment horizontal="left" wrapText="1"/>
      <protection/>
    </xf>
    <xf numFmtId="0" fontId="75" fillId="0" borderId="33" xfId="105" applyFont="1" applyFill="1" applyBorder="1" applyAlignment="1">
      <alignment horizontal="left"/>
      <protection/>
    </xf>
    <xf numFmtId="0" fontId="75" fillId="0" borderId="64" xfId="105" applyFont="1" applyFill="1" applyBorder="1" applyAlignment="1">
      <alignment horizontal="left" vertical="center" wrapText="1"/>
      <protection/>
    </xf>
    <xf numFmtId="0" fontId="75" fillId="0" borderId="33" xfId="105" applyFont="1" applyFill="1" applyBorder="1" applyAlignment="1">
      <alignment horizontal="left" vertical="center" wrapText="1"/>
      <protection/>
    </xf>
    <xf numFmtId="168" fontId="75" fillId="0" borderId="33" xfId="105" applyNumberFormat="1" applyFont="1" applyFill="1" applyBorder="1" applyAlignment="1">
      <alignment horizontal="left" wrapText="1"/>
      <protection/>
    </xf>
    <xf numFmtId="3" fontId="74" fillId="0" borderId="43" xfId="105" applyNumberFormat="1" applyFont="1" applyBorder="1" applyAlignment="1">
      <alignment horizontal="center" vertical="center" wrapText="1"/>
      <protection/>
    </xf>
    <xf numFmtId="3" fontId="74" fillId="0" borderId="27" xfId="105" applyNumberFormat="1" applyFont="1" applyBorder="1" applyAlignment="1">
      <alignment horizontal="center" vertical="center" wrapText="1"/>
      <protection/>
    </xf>
    <xf numFmtId="3" fontId="74" fillId="0" borderId="44" xfId="105" applyNumberFormat="1" applyFont="1" applyBorder="1" applyAlignment="1">
      <alignment horizontal="center" vertical="center" wrapText="1"/>
      <protection/>
    </xf>
    <xf numFmtId="0" fontId="75" fillId="0" borderId="54" xfId="105" applyFont="1" applyFill="1" applyBorder="1" applyAlignment="1">
      <alignment horizontal="left"/>
      <protection/>
    </xf>
    <xf numFmtId="3" fontId="88" fillId="0" borderId="0" xfId="103" applyNumberFormat="1" applyFont="1" applyAlignment="1">
      <alignment horizontal="right"/>
      <protection/>
    </xf>
    <xf numFmtId="0" fontId="72" fillId="0" borderId="0" xfId="103" applyFont="1" applyAlignment="1">
      <alignment horizontal="center"/>
      <protection/>
    </xf>
    <xf numFmtId="0" fontId="73" fillId="0" borderId="0" xfId="103" applyFont="1" applyAlignment="1">
      <alignment horizontal="center"/>
      <protection/>
    </xf>
    <xf numFmtId="0" fontId="19" fillId="0" borderId="0" xfId="103" applyFont="1" applyAlignment="1">
      <alignment horizontal="center"/>
      <protection/>
    </xf>
    <xf numFmtId="168" fontId="74" fillId="0" borderId="38" xfId="105" applyNumberFormat="1" applyFont="1" applyBorder="1" applyAlignment="1">
      <alignment horizontal="center" vertical="center" wrapText="1"/>
      <protection/>
    </xf>
    <xf numFmtId="3" fontId="88" fillId="0" borderId="55" xfId="103" applyNumberFormat="1" applyFont="1" applyBorder="1" applyAlignment="1">
      <alignment horizontal="right"/>
      <protection/>
    </xf>
    <xf numFmtId="0" fontId="78" fillId="0" borderId="55" xfId="103" applyFont="1" applyBorder="1" applyAlignment="1">
      <alignment horizontal="center" vertical="center" wrapText="1"/>
      <protection/>
    </xf>
    <xf numFmtId="0" fontId="23" fillId="50" borderId="78" xfId="103" applyFont="1" applyFill="1" applyBorder="1" applyAlignment="1">
      <alignment horizontal="center" vertical="center" wrapText="1"/>
      <protection/>
    </xf>
    <xf numFmtId="0" fontId="23" fillId="50" borderId="32" xfId="103" applyFont="1" applyFill="1" applyBorder="1" applyAlignment="1">
      <alignment horizontal="center" vertical="center" wrapText="1"/>
      <protection/>
    </xf>
    <xf numFmtId="0" fontId="23" fillId="50" borderId="85" xfId="103" applyFont="1" applyFill="1" applyBorder="1" applyAlignment="1">
      <alignment horizontal="center" vertical="center" wrapText="1"/>
      <protection/>
    </xf>
    <xf numFmtId="0" fontId="23" fillId="50" borderId="42" xfId="103" applyFont="1" applyFill="1" applyBorder="1" applyAlignment="1">
      <alignment horizontal="center" vertical="center" wrapText="1"/>
      <protection/>
    </xf>
    <xf numFmtId="0" fontId="23" fillId="50" borderId="53" xfId="103" applyFont="1" applyFill="1" applyBorder="1" applyAlignment="1">
      <alignment horizontal="center" vertical="center" wrapText="1"/>
      <protection/>
    </xf>
    <xf numFmtId="0" fontId="23" fillId="50" borderId="128" xfId="103" applyFont="1" applyFill="1" applyBorder="1" applyAlignment="1">
      <alignment horizontal="center" vertical="center" wrapText="1"/>
      <protection/>
    </xf>
    <xf numFmtId="3" fontId="23" fillId="50" borderId="71" xfId="103" applyNumberFormat="1" applyFont="1" applyFill="1" applyBorder="1" applyAlignment="1">
      <alignment horizontal="center" vertical="center" wrapText="1"/>
      <protection/>
    </xf>
    <xf numFmtId="3" fontId="23" fillId="50" borderId="67" xfId="103" applyNumberFormat="1" applyFont="1" applyFill="1" applyBorder="1" applyAlignment="1">
      <alignment horizontal="center" vertical="center" wrapText="1"/>
      <protection/>
    </xf>
    <xf numFmtId="3" fontId="23" fillId="50" borderId="68" xfId="103" applyNumberFormat="1" applyFont="1" applyFill="1" applyBorder="1" applyAlignment="1">
      <alignment horizontal="center" vertical="center" wrapText="1"/>
      <protection/>
    </xf>
    <xf numFmtId="3" fontId="23" fillId="50" borderId="93" xfId="103" applyNumberFormat="1" applyFont="1" applyFill="1" applyBorder="1" applyAlignment="1">
      <alignment horizontal="center" vertical="center" wrapText="1"/>
      <protection/>
    </xf>
    <xf numFmtId="3" fontId="23" fillId="50" borderId="0" xfId="103" applyNumberFormat="1" applyFont="1" applyFill="1" applyBorder="1" applyAlignment="1">
      <alignment horizontal="center" vertical="center" wrapText="1"/>
      <protection/>
    </xf>
    <xf numFmtId="3" fontId="23" fillId="50" borderId="95" xfId="103" applyNumberFormat="1" applyFont="1" applyFill="1" applyBorder="1" applyAlignment="1">
      <alignment horizontal="center" vertical="center" wrapText="1"/>
      <protection/>
    </xf>
    <xf numFmtId="3" fontId="23" fillId="50" borderId="129" xfId="103" applyNumberFormat="1" applyFont="1" applyFill="1" applyBorder="1" applyAlignment="1">
      <alignment horizontal="center" vertical="center" wrapText="1"/>
      <protection/>
    </xf>
    <xf numFmtId="3" fontId="23" fillId="50" borderId="130" xfId="103" applyNumberFormat="1" applyFont="1" applyFill="1" applyBorder="1" applyAlignment="1">
      <alignment horizontal="center" vertical="center" wrapText="1"/>
      <protection/>
    </xf>
    <xf numFmtId="3" fontId="23" fillId="50" borderId="131" xfId="103" applyNumberFormat="1" applyFont="1" applyFill="1" applyBorder="1" applyAlignment="1">
      <alignment horizontal="center" vertical="center" wrapText="1"/>
      <protection/>
    </xf>
    <xf numFmtId="3" fontId="23" fillId="50" borderId="132" xfId="103" applyNumberFormat="1" applyFont="1" applyFill="1" applyBorder="1" applyAlignment="1">
      <alignment horizontal="center" vertical="center" wrapText="1"/>
      <protection/>
    </xf>
    <xf numFmtId="3" fontId="23" fillId="50" borderId="87" xfId="103" applyNumberFormat="1" applyFont="1" applyFill="1" applyBorder="1" applyAlignment="1">
      <alignment horizontal="center" vertical="center" wrapText="1"/>
      <protection/>
    </xf>
    <xf numFmtId="3" fontId="23" fillId="50" borderId="133" xfId="103" applyNumberFormat="1" applyFont="1" applyFill="1" applyBorder="1" applyAlignment="1">
      <alignment horizontal="center" vertical="center" wrapText="1"/>
      <protection/>
    </xf>
    <xf numFmtId="3" fontId="88" fillId="0" borderId="0" xfId="103" applyNumberFormat="1" applyFont="1" applyAlignment="1">
      <alignment horizontal="right" vertical="center"/>
      <protection/>
    </xf>
    <xf numFmtId="0" fontId="78" fillId="0" borderId="0" xfId="103" applyFont="1" applyAlignment="1">
      <alignment horizontal="center" vertical="center" wrapText="1"/>
      <protection/>
    </xf>
    <xf numFmtId="0" fontId="78" fillId="0" borderId="0" xfId="103" applyFont="1" applyAlignment="1">
      <alignment horizontal="center" vertical="center"/>
      <protection/>
    </xf>
    <xf numFmtId="0" fontId="12" fillId="0" borderId="0" xfId="103" applyFont="1" applyFill="1" applyAlignment="1">
      <alignment horizontal="center" vertical="center"/>
      <protection/>
    </xf>
    <xf numFmtId="0" fontId="76" fillId="0" borderId="0" xfId="103" applyFont="1" applyAlignment="1">
      <alignment horizontal="center" vertical="center"/>
      <protection/>
    </xf>
    <xf numFmtId="0" fontId="92" fillId="0" borderId="0" xfId="103" applyFont="1" applyAlignment="1">
      <alignment horizontal="right"/>
      <protection/>
    </xf>
    <xf numFmtId="0" fontId="14" fillId="0" borderId="0" xfId="103" applyFont="1" applyFill="1" applyAlignment="1">
      <alignment horizontal="center" wrapText="1"/>
      <protection/>
    </xf>
    <xf numFmtId="0" fontId="12" fillId="0" borderId="49" xfId="103" applyFont="1" applyFill="1" applyBorder="1" applyAlignment="1">
      <alignment horizontal="center" vertical="center" wrapText="1"/>
      <protection/>
    </xf>
    <xf numFmtId="0" fontId="12" fillId="0" borderId="26" xfId="103" applyFont="1" applyFill="1" applyBorder="1" applyAlignment="1">
      <alignment horizontal="center" vertical="center" wrapText="1"/>
      <protection/>
    </xf>
    <xf numFmtId="0" fontId="12" fillId="0" borderId="72" xfId="103" applyFont="1" applyFill="1" applyBorder="1" applyAlignment="1">
      <alignment horizontal="center" vertical="center"/>
      <protection/>
    </xf>
    <xf numFmtId="0" fontId="12" fillId="0" borderId="54" xfId="103" applyFont="1" applyFill="1" applyBorder="1" applyAlignment="1">
      <alignment horizontal="center" vertical="center"/>
      <protection/>
    </xf>
    <xf numFmtId="0" fontId="12" fillId="0" borderId="22" xfId="103" applyFont="1" applyFill="1" applyBorder="1" applyAlignment="1">
      <alignment horizontal="center" vertical="center"/>
      <protection/>
    </xf>
    <xf numFmtId="0" fontId="12" fillId="0" borderId="46" xfId="103" applyFont="1" applyFill="1" applyBorder="1" applyAlignment="1">
      <alignment horizontal="center" vertical="center"/>
      <protection/>
    </xf>
    <xf numFmtId="0" fontId="12" fillId="0" borderId="47" xfId="103" applyFont="1" applyFill="1" applyBorder="1" applyAlignment="1">
      <alignment horizontal="center" vertical="center"/>
      <protection/>
    </xf>
    <xf numFmtId="0" fontId="12" fillId="0" borderId="64" xfId="103" applyFont="1" applyFill="1" applyBorder="1" applyAlignment="1">
      <alignment horizontal="center" vertical="center"/>
      <protection/>
    </xf>
    <xf numFmtId="0" fontId="12" fillId="0" borderId="33" xfId="103" applyFont="1" applyFill="1" applyBorder="1" applyAlignment="1">
      <alignment horizontal="center" vertical="center"/>
      <protection/>
    </xf>
    <xf numFmtId="0" fontId="12" fillId="0" borderId="88" xfId="103" applyFont="1" applyFill="1" applyBorder="1" applyAlignment="1">
      <alignment horizontal="center" vertical="center"/>
      <protection/>
    </xf>
    <xf numFmtId="0" fontId="12" fillId="0" borderId="19" xfId="103" applyFont="1" applyFill="1" applyBorder="1" applyAlignment="1">
      <alignment horizontal="center" vertical="center"/>
      <protection/>
    </xf>
    <xf numFmtId="0" fontId="12" fillId="0" borderId="24" xfId="103" applyFont="1" applyFill="1" applyBorder="1" applyAlignment="1">
      <alignment horizontal="center" vertical="center"/>
      <protection/>
    </xf>
    <xf numFmtId="0" fontId="12" fillId="0" borderId="25" xfId="103" applyFont="1" applyFill="1" applyBorder="1" applyAlignment="1">
      <alignment horizontal="center" vertical="center"/>
      <protection/>
    </xf>
    <xf numFmtId="0" fontId="12" fillId="1" borderId="24" xfId="103" applyFont="1" applyFill="1" applyBorder="1" applyAlignment="1">
      <alignment horizontal="center" vertical="center"/>
      <protection/>
    </xf>
    <xf numFmtId="0" fontId="12" fillId="1" borderId="64" xfId="103" applyFont="1" applyFill="1" applyBorder="1" applyAlignment="1">
      <alignment horizontal="center" vertical="center"/>
      <protection/>
    </xf>
    <xf numFmtId="0" fontId="12" fillId="1" borderId="25" xfId="103" applyFont="1" applyFill="1" applyBorder="1" applyAlignment="1">
      <alignment horizontal="center" vertical="center"/>
      <protection/>
    </xf>
    <xf numFmtId="0" fontId="12" fillId="1" borderId="49" xfId="103" applyFont="1" applyFill="1" applyBorder="1" applyAlignment="1">
      <alignment horizontal="center" vertical="center" wrapText="1"/>
      <protection/>
    </xf>
    <xf numFmtId="0" fontId="12" fillId="1" borderId="26" xfId="103" applyFont="1" applyFill="1" applyBorder="1" applyAlignment="1">
      <alignment horizontal="center" vertical="center" wrapText="1"/>
      <protection/>
    </xf>
    <xf numFmtId="0" fontId="12" fillId="1" borderId="72" xfId="103" applyFont="1" applyFill="1" applyBorder="1" applyAlignment="1">
      <alignment horizontal="center" vertical="center"/>
      <protection/>
    </xf>
    <xf numFmtId="0" fontId="12" fillId="1" borderId="54" xfId="103" applyFont="1" applyFill="1" applyBorder="1" applyAlignment="1">
      <alignment horizontal="center" vertical="center"/>
      <protection/>
    </xf>
    <xf numFmtId="0" fontId="12" fillId="1" borderId="22" xfId="103" applyFont="1" applyFill="1" applyBorder="1" applyAlignment="1">
      <alignment horizontal="center" vertical="center"/>
      <protection/>
    </xf>
    <xf numFmtId="0" fontId="12" fillId="1" borderId="46" xfId="103" applyFont="1" applyFill="1" applyBorder="1" applyAlignment="1">
      <alignment horizontal="center" vertical="center"/>
      <protection/>
    </xf>
    <xf numFmtId="0" fontId="12" fillId="1" borderId="47" xfId="103" applyFont="1" applyFill="1" applyBorder="1" applyAlignment="1">
      <alignment horizontal="center" vertical="center"/>
      <protection/>
    </xf>
    <xf numFmtId="0" fontId="12" fillId="1" borderId="33" xfId="103" applyFont="1" applyFill="1" applyBorder="1" applyAlignment="1">
      <alignment horizontal="center" vertical="center"/>
      <protection/>
    </xf>
    <xf numFmtId="0" fontId="12" fillId="1" borderId="88" xfId="103" applyFont="1" applyFill="1" applyBorder="1" applyAlignment="1">
      <alignment horizontal="center" vertical="center"/>
      <protection/>
    </xf>
    <xf numFmtId="0" fontId="12" fillId="1" borderId="19" xfId="103" applyFont="1" applyFill="1" applyBorder="1" applyAlignment="1">
      <alignment horizontal="center" vertical="center"/>
      <protection/>
    </xf>
    <xf numFmtId="0" fontId="21" fillId="0" borderId="0" xfId="103" applyFont="1" applyAlignment="1">
      <alignment horizontal="center"/>
      <protection/>
    </xf>
    <xf numFmtId="0" fontId="12" fillId="0" borderId="0" xfId="103" applyFont="1" applyAlignment="1">
      <alignment horizontal="center"/>
      <protection/>
    </xf>
    <xf numFmtId="0" fontId="14" fillId="0" borderId="0" xfId="103" applyFont="1" applyAlignment="1">
      <alignment horizontal="center"/>
      <protection/>
    </xf>
    <xf numFmtId="0" fontId="24" fillId="0" borderId="31" xfId="104" applyFont="1" applyBorder="1" applyAlignment="1">
      <alignment horizontal="left" vertical="center"/>
      <protection/>
    </xf>
    <xf numFmtId="0" fontId="24" fillId="0" borderId="38" xfId="104" applyFont="1" applyBorder="1" applyAlignment="1">
      <alignment horizontal="left" vertical="center"/>
      <protection/>
    </xf>
    <xf numFmtId="0" fontId="24" fillId="0" borderId="50" xfId="104" applyFont="1" applyBorder="1" applyAlignment="1">
      <alignment horizontal="left" vertical="center"/>
      <protection/>
    </xf>
    <xf numFmtId="1" fontId="35" fillId="0" borderId="31" xfId="104" applyNumberFormat="1" applyFont="1" applyBorder="1" applyAlignment="1">
      <alignment horizontal="center" vertical="center" wrapText="1"/>
      <protection/>
    </xf>
    <xf numFmtId="1" fontId="35" fillId="0" borderId="38" xfId="104" applyNumberFormat="1" applyFont="1" applyBorder="1" applyAlignment="1">
      <alignment horizontal="center" vertical="center" wrapText="1"/>
      <protection/>
    </xf>
    <xf numFmtId="1" fontId="35" fillId="0" borderId="51" xfId="104" applyNumberFormat="1" applyFont="1" applyBorder="1" applyAlignment="1">
      <alignment horizontal="center" vertical="center" wrapText="1"/>
      <protection/>
    </xf>
    <xf numFmtId="0" fontId="24" fillId="0" borderId="72" xfId="104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/>
    </xf>
    <xf numFmtId="0" fontId="0" fillId="0" borderId="127" xfId="0" applyBorder="1" applyAlignment="1">
      <alignment/>
    </xf>
    <xf numFmtId="0" fontId="24" fillId="0" borderId="49" xfId="104" applyFont="1" applyBorder="1" applyAlignment="1">
      <alignment horizontal="center" vertical="center" wrapText="1"/>
      <protection/>
    </xf>
    <xf numFmtId="0" fontId="24" fillId="0" borderId="39" xfId="104" applyFont="1" applyBorder="1" applyAlignment="1">
      <alignment horizontal="center" vertical="center" wrapText="1"/>
      <protection/>
    </xf>
    <xf numFmtId="0" fontId="64" fillId="0" borderId="0" xfId="104" applyFont="1" applyAlignment="1">
      <alignment horizontal="right" vertical="center"/>
      <protection/>
    </xf>
    <xf numFmtId="0" fontId="34" fillId="0" borderId="0" xfId="104" applyFont="1" applyAlignment="1">
      <alignment horizontal="center" vertical="center"/>
      <protection/>
    </xf>
    <xf numFmtId="16" fontId="34" fillId="0" borderId="0" xfId="104" applyNumberFormat="1" applyFont="1" applyBorder="1" applyAlignment="1">
      <alignment horizontal="center" vertical="center" wrapText="1"/>
      <protection/>
    </xf>
    <xf numFmtId="0" fontId="24" fillId="0" borderId="78" xfId="104" applyFont="1" applyFill="1" applyBorder="1" applyAlignment="1">
      <alignment horizontal="center" vertical="center" wrapText="1"/>
      <protection/>
    </xf>
    <xf numFmtId="0" fontId="24" fillId="0" borderId="72" xfId="104" applyFont="1" applyBorder="1" applyAlignment="1">
      <alignment horizontal="center" vertical="center" wrapText="1"/>
      <protection/>
    </xf>
    <xf numFmtId="0" fontId="88" fillId="0" borderId="0" xfId="96" applyFont="1" applyAlignment="1">
      <alignment horizontal="right"/>
      <protection/>
    </xf>
    <xf numFmtId="0" fontId="13" fillId="0" borderId="0" xfId="96" applyFont="1" applyAlignment="1">
      <alignment horizontal="center"/>
      <protection/>
    </xf>
    <xf numFmtId="0" fontId="88" fillId="0" borderId="35" xfId="96" applyFont="1" applyBorder="1" applyAlignment="1">
      <alignment horizontal="right"/>
      <protection/>
    </xf>
    <xf numFmtId="0" fontId="13" fillId="0" borderId="24" xfId="96" applyFont="1" applyFill="1" applyBorder="1" applyAlignment="1">
      <alignment horizontal="center" wrapText="1"/>
      <protection/>
    </xf>
    <xf numFmtId="0" fontId="46" fillId="0" borderId="22" xfId="108" applyFont="1" applyBorder="1" applyAlignment="1">
      <alignment horizontal="center" vertical="center" wrapText="1"/>
      <protection/>
    </xf>
    <xf numFmtId="0" fontId="46" fillId="0" borderId="19" xfId="108" applyFont="1" applyBorder="1" applyAlignment="1">
      <alignment horizontal="center" vertical="center" wrapText="1"/>
      <protection/>
    </xf>
    <xf numFmtId="0" fontId="60" fillId="0" borderId="46" xfId="108" applyFont="1" applyBorder="1" applyAlignment="1">
      <alignment horizontal="center" vertical="center" textRotation="90"/>
      <protection/>
    </xf>
    <xf numFmtId="0" fontId="60" fillId="0" borderId="24" xfId="108" applyFont="1" applyBorder="1" applyAlignment="1">
      <alignment horizontal="center" vertical="center" textRotation="90"/>
      <protection/>
    </xf>
    <xf numFmtId="0" fontId="31" fillId="0" borderId="47" xfId="108" applyFont="1" applyBorder="1" applyAlignment="1">
      <alignment horizontal="center" vertical="center" wrapText="1"/>
      <protection/>
    </xf>
    <xf numFmtId="0" fontId="31" fillId="0" borderId="25" xfId="108" applyFont="1" applyBorder="1" applyAlignment="1">
      <alignment horizontal="center" vertical="center"/>
      <protection/>
    </xf>
    <xf numFmtId="0" fontId="111" fillId="0" borderId="0" xfId="109" applyFont="1" applyAlignment="1">
      <alignment horizontal="center" vertical="center" wrapText="1"/>
      <protection/>
    </xf>
    <xf numFmtId="0" fontId="112" fillId="0" borderId="0" xfId="109" applyFont="1" applyAlignment="1">
      <alignment horizontal="right"/>
      <protection/>
    </xf>
    <xf numFmtId="0" fontId="111" fillId="0" borderId="101" xfId="109" applyFont="1" applyBorder="1" applyAlignment="1">
      <alignment horizontal="center" vertical="center" wrapText="1"/>
      <protection/>
    </xf>
    <xf numFmtId="0" fontId="31" fillId="0" borderId="102" xfId="108" applyFont="1" applyBorder="1" applyAlignment="1">
      <alignment horizontal="center" vertical="center" textRotation="90"/>
      <protection/>
    </xf>
    <xf numFmtId="0" fontId="112" fillId="0" borderId="102" xfId="109" applyFont="1" applyBorder="1" applyAlignment="1">
      <alignment horizontal="center" vertical="center" wrapText="1"/>
      <protection/>
    </xf>
    <xf numFmtId="0" fontId="112" fillId="0" borderId="116" xfId="109" applyFont="1" applyBorder="1" applyAlignment="1">
      <alignment horizontal="center" wrapText="1"/>
      <protection/>
    </xf>
    <xf numFmtId="0" fontId="69" fillId="0" borderId="0" xfId="109" applyFont="1" applyAlignment="1">
      <alignment horizontal="center" vertical="center" wrapText="1"/>
      <protection/>
    </xf>
    <xf numFmtId="0" fontId="114" fillId="0" borderId="0" xfId="109" applyFont="1" applyAlignment="1">
      <alignment horizontal="right"/>
      <protection/>
    </xf>
    <xf numFmtId="0" fontId="69" fillId="0" borderId="101" xfId="109" applyFont="1" applyBorder="1" applyAlignment="1">
      <alignment horizontal="center" vertical="center" wrapText="1"/>
      <protection/>
    </xf>
    <xf numFmtId="0" fontId="62" fillId="0" borderId="102" xfId="108" applyFont="1" applyBorder="1" applyAlignment="1">
      <alignment horizontal="center" vertical="center" textRotation="90"/>
      <protection/>
    </xf>
    <xf numFmtId="0" fontId="114" fillId="0" borderId="102" xfId="109" applyFont="1" applyBorder="1" applyAlignment="1">
      <alignment horizontal="center" vertical="center" wrapText="1"/>
      <protection/>
    </xf>
    <xf numFmtId="0" fontId="114" fillId="0" borderId="116" xfId="109" applyFont="1" applyBorder="1" applyAlignment="1">
      <alignment horizontal="center" wrapText="1"/>
      <protection/>
    </xf>
    <xf numFmtId="0" fontId="78" fillId="0" borderId="0" xfId="109" applyFont="1" applyAlignment="1">
      <alignment horizontal="center" vertical="center" wrapText="1"/>
      <protection/>
    </xf>
    <xf numFmtId="0" fontId="119" fillId="0" borderId="0" xfId="108" applyFont="1" applyAlignment="1">
      <alignment horizontal="right" vertical="center"/>
      <protection/>
    </xf>
    <xf numFmtId="0" fontId="78" fillId="0" borderId="109" xfId="109" applyFont="1" applyBorder="1" applyAlignment="1">
      <alignment horizontal="left"/>
      <protection/>
    </xf>
    <xf numFmtId="0" fontId="62" fillId="0" borderId="0" xfId="108" applyFont="1" applyAlignment="1">
      <alignment horizontal="right" vertical="center"/>
      <protection/>
    </xf>
    <xf numFmtId="0" fontId="69" fillId="0" borderId="109" xfId="109" applyFont="1" applyBorder="1" applyAlignment="1">
      <alignment horizontal="left"/>
      <protection/>
    </xf>
    <xf numFmtId="0" fontId="27" fillId="0" borderId="0" xfId="106" applyFont="1" applyAlignment="1">
      <alignment horizontal="center"/>
      <protection/>
    </xf>
    <xf numFmtId="0" fontId="42" fillId="0" borderId="0" xfId="106" applyFont="1" applyAlignment="1">
      <alignment horizontal="right"/>
      <protection/>
    </xf>
    <xf numFmtId="169" fontId="121" fillId="0" borderId="0" xfId="106" applyNumberFormat="1" applyFont="1" applyAlignment="1">
      <alignment horizontal="center" vertical="center" wrapText="1"/>
      <protection/>
    </xf>
    <xf numFmtId="0" fontId="60" fillId="0" borderId="55" xfId="0" applyFont="1" applyBorder="1" applyAlignment="1">
      <alignment horizontal="right"/>
    </xf>
    <xf numFmtId="0" fontId="46" fillId="0" borderId="22" xfId="106" applyFont="1" applyBorder="1" applyAlignment="1">
      <alignment horizontal="center" vertical="center" wrapText="1"/>
      <protection/>
    </xf>
    <xf numFmtId="0" fontId="46" fillId="0" borderId="29" xfId="106" applyFont="1" applyBorder="1" applyAlignment="1">
      <alignment horizontal="center" vertical="center" wrapText="1"/>
      <protection/>
    </xf>
    <xf numFmtId="0" fontId="46" fillId="0" borderId="46" xfId="106" applyFont="1" applyBorder="1" applyAlignment="1">
      <alignment horizontal="center" vertical="center" wrapText="1"/>
      <protection/>
    </xf>
    <xf numFmtId="0" fontId="46" fillId="0" borderId="28" xfId="106" applyFont="1" applyBorder="1" applyAlignment="1">
      <alignment horizontal="center" vertical="center" wrapText="1"/>
      <protection/>
    </xf>
    <xf numFmtId="0" fontId="46" fillId="0" borderId="72" xfId="106" applyFont="1" applyBorder="1" applyAlignment="1">
      <alignment horizontal="center" vertical="center" wrapText="1"/>
      <protection/>
    </xf>
    <xf numFmtId="0" fontId="46" fillId="0" borderId="54" xfId="106" applyFont="1" applyBorder="1" applyAlignment="1">
      <alignment horizontal="center" vertical="center" wrapText="1"/>
      <protection/>
    </xf>
    <xf numFmtId="0" fontId="46" fillId="0" borderId="127" xfId="106" applyFont="1" applyBorder="1" applyAlignment="1">
      <alignment horizontal="center" vertical="center" wrapText="1"/>
      <protection/>
    </xf>
    <xf numFmtId="0" fontId="46" fillId="0" borderId="43" xfId="106" applyFont="1" applyFill="1" applyBorder="1" applyAlignment="1" applyProtection="1">
      <alignment horizontal="left" vertical="center"/>
      <protection/>
    </xf>
    <xf numFmtId="0" fontId="46" fillId="0" borderId="27" xfId="106" applyFont="1" applyFill="1" applyBorder="1" applyAlignment="1" applyProtection="1">
      <alignment horizontal="left" vertical="center"/>
      <protection/>
    </xf>
    <xf numFmtId="0" fontId="45" fillId="0" borderId="67" xfId="106" applyFont="1" applyFill="1" applyBorder="1" applyAlignment="1">
      <alignment horizontal="justify" vertical="center" wrapText="1"/>
      <protection/>
    </xf>
    <xf numFmtId="0" fontId="44" fillId="0" borderId="55" xfId="0" applyFont="1" applyFill="1" applyBorder="1" applyAlignment="1" applyProtection="1">
      <alignment horizontal="right" vertical="center"/>
      <protection/>
    </xf>
    <xf numFmtId="169" fontId="81" fillId="0" borderId="0" xfId="106" applyNumberFormat="1" applyFont="1" applyFill="1" applyBorder="1" applyAlignment="1" applyProtection="1">
      <alignment horizontal="center" vertical="center" wrapText="1"/>
      <protection/>
    </xf>
    <xf numFmtId="0" fontId="43" fillId="0" borderId="0" xfId="106" applyFont="1" applyFill="1" applyAlignment="1">
      <alignment horizontal="right" vertical="center"/>
      <protection/>
    </xf>
    <xf numFmtId="0" fontId="84" fillId="0" borderId="0" xfId="102" applyFont="1" applyAlignment="1">
      <alignment horizontal="center" vertical="center"/>
      <protection/>
    </xf>
    <xf numFmtId="169" fontId="42" fillId="0" borderId="55" xfId="102" applyNumberFormat="1" applyFont="1" applyBorder="1" applyAlignment="1">
      <alignment horizontal="right" vertical="center"/>
      <protection/>
    </xf>
    <xf numFmtId="169" fontId="27" fillId="0" borderId="63" xfId="102" applyNumberFormat="1" applyFont="1" applyBorder="1" applyAlignment="1">
      <alignment horizontal="center" vertical="top" wrapText="1"/>
      <protection/>
    </xf>
    <xf numFmtId="169" fontId="27" fillId="0" borderId="62" xfId="102" applyNumberFormat="1" applyFont="1" applyBorder="1" applyAlignment="1">
      <alignment horizontal="center" vertical="top" wrapText="1"/>
      <protection/>
    </xf>
    <xf numFmtId="169" fontId="46" fillId="0" borderId="42" xfId="102" applyNumberFormat="1" applyFont="1" applyBorder="1" applyAlignment="1">
      <alignment horizontal="center" vertical="center"/>
      <protection/>
    </xf>
    <xf numFmtId="169" fontId="46" fillId="0" borderId="52" xfId="102" applyNumberFormat="1" applyFont="1" applyBorder="1" applyAlignment="1">
      <alignment horizontal="center" vertical="center"/>
      <protection/>
    </xf>
    <xf numFmtId="169" fontId="46" fillId="0" borderId="42" xfId="102" applyNumberFormat="1" applyFont="1" applyBorder="1" applyAlignment="1">
      <alignment horizontal="center" vertical="top" wrapText="1"/>
      <protection/>
    </xf>
    <xf numFmtId="169" fontId="46" fillId="0" borderId="52" xfId="102" applyNumberFormat="1" applyFont="1" applyBorder="1" applyAlignment="1">
      <alignment horizontal="center" vertical="top" wrapText="1"/>
      <protection/>
    </xf>
    <xf numFmtId="169" fontId="46" fillId="0" borderId="57" xfId="102" applyNumberFormat="1" applyFont="1" applyBorder="1" applyAlignment="1">
      <alignment horizontal="center" vertical="center" wrapText="1"/>
      <protection/>
    </xf>
    <xf numFmtId="169" fontId="46" fillId="0" borderId="48" xfId="102" applyNumberFormat="1" applyFont="1" applyBorder="1" applyAlignment="1">
      <alignment horizontal="center" vertical="center" wrapText="1"/>
      <protection/>
    </xf>
    <xf numFmtId="3" fontId="46" fillId="0" borderId="0" xfId="107" applyNumberFormat="1" applyFont="1" applyFill="1" applyAlignment="1" applyProtection="1">
      <alignment horizontal="center" wrapText="1"/>
      <protection/>
    </xf>
    <xf numFmtId="3" fontId="46" fillId="0" borderId="0" xfId="107" applyNumberFormat="1" applyFont="1" applyFill="1" applyAlignment="1" applyProtection="1">
      <alignment horizontal="center"/>
      <protection/>
    </xf>
    <xf numFmtId="3" fontId="60" fillId="0" borderId="61" xfId="107" applyNumberFormat="1" applyFont="1" applyFill="1" applyBorder="1" applyAlignment="1" applyProtection="1">
      <alignment horizontal="left" vertical="center" indent="1"/>
      <protection/>
    </xf>
    <xf numFmtId="3" fontId="60" fillId="0" borderId="38" xfId="107" applyNumberFormat="1" applyFont="1" applyFill="1" applyBorder="1" applyAlignment="1" applyProtection="1">
      <alignment horizontal="left" vertical="center" indent="1"/>
      <protection/>
    </xf>
    <xf numFmtId="3" fontId="60" fillId="0" borderId="51" xfId="107" applyNumberFormat="1" applyFont="1" applyFill="1" applyBorder="1" applyAlignment="1" applyProtection="1">
      <alignment horizontal="left" vertical="center" indent="1"/>
      <protection/>
    </xf>
    <xf numFmtId="3" fontId="83" fillId="0" borderId="0" xfId="107" applyNumberFormat="1" applyFont="1" applyFill="1" applyAlignment="1" applyProtection="1">
      <alignment horizontal="right"/>
      <protection locked="0"/>
    </xf>
    <xf numFmtId="0" fontId="46" fillId="0" borderId="43" xfId="106" applyFont="1" applyBorder="1" applyAlignment="1">
      <alignment horizontal="left" vertical="center"/>
      <protection/>
    </xf>
    <xf numFmtId="0" fontId="46" fillId="0" borderId="27" xfId="106" applyFont="1" applyBorder="1" applyAlignment="1">
      <alignment horizontal="left" vertical="center"/>
      <protection/>
    </xf>
    <xf numFmtId="0" fontId="46" fillId="0" borderId="31" xfId="106" applyFont="1" applyBorder="1" applyAlignment="1">
      <alignment horizontal="center" vertical="center"/>
      <protection/>
    </xf>
    <xf numFmtId="0" fontId="46" fillId="0" borderId="50" xfId="106" applyFont="1" applyBorder="1" applyAlignment="1">
      <alignment horizontal="center" vertical="center"/>
      <protection/>
    </xf>
    <xf numFmtId="0" fontId="30" fillId="0" borderId="43" xfId="106" applyBorder="1" applyAlignment="1">
      <alignment horizontal="left" vertical="center"/>
      <protection/>
    </xf>
    <xf numFmtId="0" fontId="30" fillId="0" borderId="27" xfId="106" applyBorder="1" applyAlignment="1">
      <alignment horizontal="left" vertical="center"/>
      <protection/>
    </xf>
    <xf numFmtId="0" fontId="46" fillId="0" borderId="38" xfId="106" applyFont="1" applyBorder="1" applyAlignment="1">
      <alignment horizontal="center" vertical="center"/>
      <protection/>
    </xf>
    <xf numFmtId="0" fontId="46" fillId="0" borderId="51" xfId="106" applyFont="1" applyBorder="1" applyAlignment="1">
      <alignment horizontal="center" vertical="center"/>
      <protection/>
    </xf>
    <xf numFmtId="0" fontId="30" fillId="0" borderId="32" xfId="106" applyBorder="1" applyAlignment="1">
      <alignment horizontal="left" vertical="center"/>
      <protection/>
    </xf>
    <xf numFmtId="0" fontId="30" fillId="0" borderId="88" xfId="106" applyBorder="1" applyAlignment="1">
      <alignment horizontal="left" vertical="center"/>
      <protection/>
    </xf>
    <xf numFmtId="0" fontId="76" fillId="0" borderId="32" xfId="0" applyFont="1" applyBorder="1" applyAlignment="1">
      <alignment horizontal="left" vertical="center" wrapText="1"/>
    </xf>
    <xf numFmtId="0" fontId="76" fillId="0" borderId="88" xfId="0" applyFont="1" applyBorder="1" applyAlignment="1">
      <alignment horizontal="left" vertical="center" wrapText="1"/>
    </xf>
    <xf numFmtId="0" fontId="43" fillId="0" borderId="0" xfId="106" applyFont="1" applyAlignment="1">
      <alignment horizontal="right" vertical="center"/>
      <protection/>
    </xf>
    <xf numFmtId="169" fontId="81" fillId="0" borderId="0" xfId="106" applyNumberFormat="1" applyFont="1" applyAlignment="1">
      <alignment horizontal="center" vertical="center" wrapText="1"/>
      <protection/>
    </xf>
    <xf numFmtId="0" fontId="44" fillId="0" borderId="55" xfId="0" applyFont="1" applyBorder="1" applyAlignment="1">
      <alignment horizontal="right" vertical="center"/>
    </xf>
    <xf numFmtId="0" fontId="46" fillId="0" borderId="31" xfId="106" applyFont="1" applyBorder="1" applyAlignment="1">
      <alignment horizontal="center" vertical="center" wrapText="1"/>
      <protection/>
    </xf>
    <xf numFmtId="0" fontId="46" fillId="0" borderId="50" xfId="106" applyFont="1" applyBorder="1" applyAlignment="1">
      <alignment horizontal="center" vertical="center" wrapText="1"/>
      <protection/>
    </xf>
    <xf numFmtId="0" fontId="30" fillId="0" borderId="78" xfId="106" applyBorder="1" applyAlignment="1">
      <alignment horizontal="left" vertical="center"/>
      <protection/>
    </xf>
    <xf numFmtId="0" fontId="30" fillId="0" borderId="89" xfId="106" applyBorder="1" applyAlignment="1">
      <alignment horizontal="left" vertical="center"/>
      <protection/>
    </xf>
    <xf numFmtId="3" fontId="10" fillId="0" borderId="0" xfId="101" applyNumberFormat="1" applyFont="1" applyAlignment="1">
      <alignment horizontal="center" vertical="center"/>
      <protection/>
    </xf>
    <xf numFmtId="3" fontId="72" fillId="0" borderId="0" xfId="101" applyNumberFormat="1" applyFont="1" applyAlignment="1">
      <alignment horizontal="center" vertical="center"/>
      <protection/>
    </xf>
    <xf numFmtId="0" fontId="84" fillId="0" borderId="0" xfId="101" applyNumberFormat="1" applyFont="1" applyAlignment="1">
      <alignment horizontal="center" vertical="center"/>
      <protection/>
    </xf>
    <xf numFmtId="3" fontId="84" fillId="0" borderId="0" xfId="101" applyNumberFormat="1" applyFont="1" applyAlignment="1">
      <alignment horizontal="center" vertical="center"/>
      <protection/>
    </xf>
    <xf numFmtId="3" fontId="85" fillId="0" borderId="49" xfId="101" applyNumberFormat="1" applyFont="1" applyFill="1" applyBorder="1" applyAlignment="1">
      <alignment horizontal="center" vertical="center" wrapText="1"/>
      <protection/>
    </xf>
    <xf numFmtId="3" fontId="85" fillId="0" borderId="39" xfId="101" applyNumberFormat="1" applyFont="1" applyFill="1" applyBorder="1" applyAlignment="1">
      <alignment horizontal="center" vertical="center" wrapText="1"/>
      <protection/>
    </xf>
    <xf numFmtId="3" fontId="85" fillId="0" borderId="46" xfId="101" applyNumberFormat="1" applyFont="1" applyFill="1" applyBorder="1" applyAlignment="1">
      <alignment horizontal="center" vertical="center"/>
      <protection/>
    </xf>
    <xf numFmtId="3" fontId="85" fillId="0" borderId="89" xfId="101" applyNumberFormat="1" applyFont="1" applyFill="1" applyBorder="1" applyAlignment="1">
      <alignment horizontal="center" vertical="center"/>
      <protection/>
    </xf>
    <xf numFmtId="3" fontId="85" fillId="0" borderId="47" xfId="101" applyNumberFormat="1" applyFont="1" applyFill="1" applyBorder="1" applyAlignment="1">
      <alignment horizontal="center" vertical="center"/>
      <protection/>
    </xf>
    <xf numFmtId="3" fontId="84" fillId="0" borderId="0" xfId="101" applyNumberFormat="1" applyFont="1" applyFill="1" applyBorder="1" applyAlignment="1">
      <alignment horizontal="center" vertical="center"/>
      <protection/>
    </xf>
    <xf numFmtId="0" fontId="86" fillId="0" borderId="22" xfId="101" applyFont="1" applyFill="1" applyBorder="1" applyAlignment="1">
      <alignment horizontal="center" vertical="center" wrapText="1"/>
      <protection/>
    </xf>
    <xf numFmtId="0" fontId="86" fillId="0" borderId="23" xfId="101" applyFont="1" applyFill="1" applyBorder="1" applyAlignment="1">
      <alignment horizontal="center" vertical="center" wrapText="1"/>
      <protection/>
    </xf>
    <xf numFmtId="0" fontId="86" fillId="0" borderId="71" xfId="101" applyFont="1" applyFill="1" applyBorder="1" applyAlignment="1">
      <alignment horizontal="center" vertical="center" wrapText="1"/>
      <protection/>
    </xf>
    <xf numFmtId="0" fontId="86" fillId="0" borderId="132" xfId="101" applyFont="1" applyFill="1" applyBorder="1" applyAlignment="1">
      <alignment horizontal="center" vertical="center" wrapText="1"/>
      <protection/>
    </xf>
    <xf numFmtId="0" fontId="86" fillId="0" borderId="73" xfId="101" applyFont="1" applyFill="1" applyBorder="1" applyAlignment="1">
      <alignment horizontal="center" vertical="center" wrapText="1"/>
      <protection/>
    </xf>
    <xf numFmtId="0" fontId="86" fillId="0" borderId="134" xfId="101" applyFont="1" applyFill="1" applyBorder="1" applyAlignment="1">
      <alignment horizontal="center" vertical="center" wrapText="1"/>
      <protection/>
    </xf>
    <xf numFmtId="3" fontId="26" fillId="0" borderId="69" xfId="101" applyNumberFormat="1" applyFont="1" applyFill="1" applyBorder="1" applyAlignment="1">
      <alignment horizontal="right" vertical="center"/>
      <protection/>
    </xf>
    <xf numFmtId="3" fontId="26" fillId="0" borderId="86" xfId="101" applyNumberFormat="1" applyFont="1" applyFill="1" applyBorder="1" applyAlignment="1">
      <alignment horizontal="right" vertical="center"/>
      <protection/>
    </xf>
    <xf numFmtId="3" fontId="26" fillId="0" borderId="74" xfId="101" applyNumberFormat="1" applyFont="1" applyFill="1" applyBorder="1" applyAlignment="1">
      <alignment horizontal="right" vertical="center"/>
      <protection/>
    </xf>
    <xf numFmtId="3" fontId="26" fillId="0" borderId="92" xfId="101" applyNumberFormat="1" applyFont="1" applyFill="1" applyBorder="1" applyAlignment="1">
      <alignment horizontal="right" vertical="center"/>
      <protection/>
    </xf>
    <xf numFmtId="3" fontId="24" fillId="0" borderId="73" xfId="101" applyNumberFormat="1" applyFont="1" applyFill="1" applyBorder="1" applyAlignment="1">
      <alignment horizontal="right" vertical="center"/>
      <protection/>
    </xf>
    <xf numFmtId="3" fontId="24" fillId="0" borderId="134" xfId="101" applyNumberFormat="1" applyFont="1" applyFill="1" applyBorder="1" applyAlignment="1">
      <alignment horizontal="right" vertical="center"/>
      <protection/>
    </xf>
    <xf numFmtId="169" fontId="58" fillId="0" borderId="56" xfId="97" applyNumberFormat="1" applyFont="1" applyBorder="1" applyAlignment="1">
      <alignment horizontal="center" textRotation="180" wrapText="1"/>
      <protection/>
    </xf>
    <xf numFmtId="169" fontId="49" fillId="0" borderId="31" xfId="97" applyNumberFormat="1" applyFont="1" applyBorder="1" applyAlignment="1">
      <alignment horizontal="left" vertical="center" wrapText="1" indent="2"/>
      <protection/>
    </xf>
    <xf numFmtId="169" fontId="49" fillId="0" borderId="51" xfId="97" applyNumberFormat="1" applyFont="1" applyBorder="1" applyAlignment="1">
      <alignment horizontal="left" vertical="center" wrapText="1" indent="2"/>
      <protection/>
    </xf>
    <xf numFmtId="169" fontId="46" fillId="0" borderId="0" xfId="97" applyNumberFormat="1" applyFont="1" applyAlignment="1">
      <alignment horizontal="center" vertical="center" wrapText="1"/>
      <protection/>
    </xf>
    <xf numFmtId="169" fontId="49" fillId="0" borderId="125" xfId="97" applyNumberFormat="1" applyFont="1" applyBorder="1" applyAlignment="1">
      <alignment horizontal="center" vertical="center" wrapText="1"/>
      <protection/>
    </xf>
    <xf numFmtId="169" fontId="49" fillId="0" borderId="135" xfId="97" applyNumberFormat="1" applyFont="1" applyBorder="1" applyAlignment="1">
      <alignment horizontal="center" vertical="center" wrapText="1"/>
      <protection/>
    </xf>
    <xf numFmtId="169" fontId="49" fillId="0" borderId="125" xfId="97" applyNumberFormat="1" applyFont="1" applyBorder="1" applyAlignment="1">
      <alignment horizontal="center" vertical="center"/>
      <protection/>
    </xf>
    <xf numFmtId="169" fontId="49" fillId="0" borderId="135" xfId="97" applyNumberFormat="1" applyFont="1" applyBorder="1" applyAlignment="1">
      <alignment horizontal="center" vertical="center"/>
      <protection/>
    </xf>
    <xf numFmtId="49" fontId="49" fillId="0" borderId="125" xfId="97" applyNumberFormat="1" applyFont="1" applyBorder="1" applyAlignment="1">
      <alignment horizontal="center" vertical="center" wrapText="1"/>
      <protection/>
    </xf>
    <xf numFmtId="49" fontId="49" fillId="0" borderId="135" xfId="97" applyNumberFormat="1" applyFont="1" applyBorder="1" applyAlignment="1">
      <alignment horizontal="center" vertical="center" wrapText="1"/>
      <protection/>
    </xf>
    <xf numFmtId="169" fontId="49" fillId="0" borderId="78" xfId="97" applyNumberFormat="1" applyFont="1" applyBorder="1" applyAlignment="1">
      <alignment horizontal="center" vertical="center"/>
      <protection/>
    </xf>
    <xf numFmtId="169" fontId="49" fillId="0" borderId="54" xfId="97" applyNumberFormat="1" applyFont="1" applyBorder="1" applyAlignment="1">
      <alignment horizontal="center" vertical="center"/>
      <protection/>
    </xf>
    <xf numFmtId="169" fontId="49" fillId="0" borderId="127" xfId="97" applyNumberFormat="1" applyFont="1" applyBorder="1" applyAlignment="1">
      <alignment horizontal="center" vertical="center"/>
      <protection/>
    </xf>
    <xf numFmtId="3" fontId="28" fillId="54" borderId="64" xfId="95" applyNumberFormat="1" applyFont="1" applyFill="1" applyBorder="1" applyAlignment="1">
      <alignment horizontal="right" vertical="center"/>
      <protection/>
    </xf>
    <xf numFmtId="3" fontId="28" fillId="54" borderId="70" xfId="95" applyNumberFormat="1" applyFont="1" applyFill="1" applyBorder="1" applyAlignment="1">
      <alignment horizontal="right" vertical="center"/>
      <protection/>
    </xf>
    <xf numFmtId="3" fontId="28" fillId="54" borderId="74" xfId="95" applyNumberFormat="1" applyFont="1" applyFill="1" applyBorder="1" applyAlignment="1">
      <alignment horizontal="right" vertical="center"/>
      <protection/>
    </xf>
    <xf numFmtId="3" fontId="28" fillId="54" borderId="92" xfId="95" applyNumberFormat="1" applyFont="1" applyFill="1" applyBorder="1" applyAlignment="1">
      <alignment horizontal="right" vertical="center"/>
      <protection/>
    </xf>
    <xf numFmtId="0" fontId="46" fillId="54" borderId="0" xfId="95" applyFont="1" applyFill="1" applyAlignment="1">
      <alignment horizontal="center"/>
      <protection/>
    </xf>
    <xf numFmtId="0" fontId="58" fillId="54" borderId="55" xfId="95" applyFont="1" applyFill="1" applyBorder="1" applyAlignment="1">
      <alignment horizontal="right"/>
      <protection/>
    </xf>
    <xf numFmtId="0" fontId="28" fillId="54" borderId="72" xfId="95" applyFont="1" applyFill="1" applyBorder="1" applyAlignment="1">
      <alignment horizontal="center" vertical="center" wrapText="1"/>
      <protection/>
    </xf>
    <xf numFmtId="0" fontId="28" fillId="54" borderId="127" xfId="95" applyFont="1" applyFill="1" applyBorder="1" applyAlignment="1">
      <alignment horizontal="center" vertical="center" wrapText="1"/>
      <protection/>
    </xf>
    <xf numFmtId="0" fontId="42" fillId="0" borderId="0" xfId="100" applyFont="1" applyAlignment="1">
      <alignment horizontal="right"/>
      <protection/>
    </xf>
    <xf numFmtId="0" fontId="27" fillId="0" borderId="0" xfId="100" applyFont="1" applyAlignment="1" applyProtection="1">
      <alignment horizontal="center" vertical="top" wrapText="1"/>
      <protection locked="0"/>
    </xf>
    <xf numFmtId="0" fontId="9" fillId="0" borderId="0" xfId="95" applyFont="1" applyFill="1" applyAlignment="1">
      <alignment horizontal="right"/>
      <protection/>
    </xf>
    <xf numFmtId="0" fontId="48" fillId="0" borderId="0" xfId="95" applyFont="1" applyFill="1" applyAlignment="1">
      <alignment horizontal="right"/>
      <protection/>
    </xf>
    <xf numFmtId="0" fontId="39" fillId="0" borderId="0" xfId="95" applyFont="1" applyFill="1" applyAlignment="1">
      <alignment horizontal="center"/>
      <protection/>
    </xf>
    <xf numFmtId="0" fontId="7" fillId="0" borderId="0" xfId="95" applyFont="1" applyFill="1" applyAlignment="1">
      <alignment horizontal="center" wrapText="1"/>
      <protection/>
    </xf>
    <xf numFmtId="0" fontId="6" fillId="0" borderId="61" xfId="95" applyFont="1" applyFill="1" applyBorder="1" applyAlignment="1">
      <alignment horizontal="center" vertical="center"/>
      <protection/>
    </xf>
    <xf numFmtId="0" fontId="6" fillId="0" borderId="38" xfId="95" applyFont="1" applyFill="1" applyBorder="1" applyAlignment="1">
      <alignment horizontal="center" vertical="center"/>
      <protection/>
    </xf>
    <xf numFmtId="0" fontId="0" fillId="0" borderId="29" xfId="95" applyFill="1" applyBorder="1" applyAlignment="1">
      <alignment horizontal="left" vertical="center" wrapText="1"/>
      <protection/>
    </xf>
    <xf numFmtId="0" fontId="0" fillId="0" borderId="39" xfId="95" applyFill="1" applyBorder="1" applyAlignment="1">
      <alignment horizontal="left" vertical="center" wrapText="1"/>
      <protection/>
    </xf>
    <xf numFmtId="0" fontId="0" fillId="0" borderId="28" xfId="95" applyFill="1" applyBorder="1" applyAlignment="1">
      <alignment horizontal="left" vertical="center" wrapText="1"/>
      <protection/>
    </xf>
    <xf numFmtId="0" fontId="0" fillId="0" borderId="41" xfId="95" applyFill="1" applyBorder="1" applyAlignment="1">
      <alignment horizontal="left" vertical="center" wrapText="1"/>
      <protection/>
    </xf>
    <xf numFmtId="0" fontId="0" fillId="0" borderId="45" xfId="95" applyFill="1" applyBorder="1" applyAlignment="1">
      <alignment horizontal="left" vertical="center" wrapText="1"/>
      <protection/>
    </xf>
    <xf numFmtId="3" fontId="0" fillId="0" borderId="28" xfId="95" applyNumberFormat="1" applyFill="1" applyBorder="1" applyAlignment="1">
      <alignment horizontal="right" vertical="center"/>
      <protection/>
    </xf>
    <xf numFmtId="3" fontId="0" fillId="0" borderId="41" xfId="95" applyNumberFormat="1" applyFill="1" applyBorder="1" applyAlignment="1">
      <alignment horizontal="right" vertical="center"/>
      <protection/>
    </xf>
    <xf numFmtId="0" fontId="0" fillId="0" borderId="28" xfId="95" applyFill="1" applyBorder="1" applyAlignment="1">
      <alignment horizontal="center"/>
      <protection/>
    </xf>
    <xf numFmtId="0" fontId="0" fillId="0" borderId="41" xfId="95" applyFill="1" applyBorder="1" applyAlignment="1">
      <alignment horizontal="center"/>
      <protection/>
    </xf>
    <xf numFmtId="0" fontId="162" fillId="0" borderId="29" xfId="95" applyFont="1" applyFill="1" applyBorder="1" applyAlignment="1">
      <alignment horizontal="left" vertical="center" wrapText="1"/>
      <protection/>
    </xf>
    <xf numFmtId="0" fontId="162" fillId="0" borderId="39" xfId="95" applyFont="1" applyFill="1" applyBorder="1" applyAlignment="1">
      <alignment horizontal="left" vertical="center" wrapText="1"/>
      <protection/>
    </xf>
    <xf numFmtId="169" fontId="62" fillId="0" borderId="0" xfId="0" applyNumberFormat="1" applyFont="1" applyFill="1" applyAlignment="1">
      <alignment horizontal="right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1_-_II_Tajekoztato_tablak (1)" xfId="102"/>
    <cellStyle name="Normál_2007. év költségvetés terv 1.mellékletek" xfId="103"/>
    <cellStyle name="Normál_2008. év költségvetés terv 1. sz. melléklet" xfId="104"/>
    <cellStyle name="Normál_Dologi kiadás" xfId="105"/>
    <cellStyle name="Normál_KVRENMUNKA" xfId="106"/>
    <cellStyle name="Normál_SEGEDLETEK" xfId="107"/>
    <cellStyle name="Normál_VAGYONK" xfId="108"/>
    <cellStyle name="Normál_VAGYONKIM" xfId="109"/>
    <cellStyle name="Note" xfId="110"/>
    <cellStyle name="Output" xfId="111"/>
    <cellStyle name="Összesen" xfId="112"/>
    <cellStyle name="Currency" xfId="113"/>
    <cellStyle name="Currency [0]" xfId="114"/>
    <cellStyle name="Rossz" xfId="115"/>
    <cellStyle name="Semleges" xfId="116"/>
    <cellStyle name="Számítás" xfId="117"/>
    <cellStyle name="Percent" xfId="118"/>
    <cellStyle name="Title" xfId="119"/>
    <cellStyle name="Total" xfId="120"/>
    <cellStyle name="Warning Text" xfId="12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20\Beled\K&#246;lts&#233;gvet&#233;s\K&#246;lts&#233;gvet&#233;s%20K&#246;z&#246;s%20Hivatal_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20\Beled\B&#193;MK\-%20B&#193;MK%20k&#246;lts&#233;gvet&#233;s%202020%20Ren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19\Beled\K&#246;lts&#233;gvet&#233;si%20rendelet%20m&#243;dos&#237;t&#225;sa\M&#243;d.%20IV\1-18.%20szamu%20melleklet%20m&#243;dosst&#243;%20I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wnloads\1527685536_1-23.%20szamu%20melleklet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AppData\Local\Temp\Beled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nyelésre"/>
      <sheetName val="előirányzat forintban"/>
      <sheetName val="Beled Közös Hiv."/>
      <sheetName val="Munka1"/>
    </sheetNames>
    <sheetDataSet>
      <sheetData sheetId="2">
        <row r="6">
          <cell r="B6" t="str">
            <v>Informatikai eszközök létesítése (nagyértékű)</v>
          </cell>
        </row>
        <row r="11">
          <cell r="B11" t="str">
            <v>Egyéb berendezések beszerzése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nyvelésre kerekített"/>
      <sheetName val="könyvelésre"/>
      <sheetName val="ne írd át összeső1"/>
      <sheetName val="ne írd át összesítő"/>
      <sheetName val="Beled óvoda"/>
      <sheetName val="tornacsarnok"/>
      <sheetName val="művház"/>
      <sheetName val="könyvtár"/>
      <sheetName val="int. étkezés bölcsőde"/>
      <sheetName val="munkahelyi és egyéb vendéglátás"/>
      <sheetName val="bölcsőde"/>
      <sheetName val="intézményi étkezés óvoda"/>
      <sheetName val="int. étkezés iskola"/>
      <sheetName val="előlap"/>
    </sheetNames>
    <sheetDataSet>
      <sheetData sheetId="4">
        <row r="149">
          <cell r="B149" t="str">
            <v>ágvágó, sövénynyíró</v>
          </cell>
        </row>
        <row r="151">
          <cell r="B151" t="str">
            <v>iratmegsemmisítő, szőnyegtisztító gép</v>
          </cell>
        </row>
        <row r="152">
          <cell r="B152" t="str">
            <v>udvari asztal, padok, tranbulin, napernyők</v>
          </cell>
        </row>
      </sheetData>
      <sheetData sheetId="6">
        <row r="131">
          <cell r="B131" t="str">
            <v>mosógép, porszívó, állófogasok 2 db</v>
          </cell>
        </row>
      </sheetData>
      <sheetData sheetId="10">
        <row r="81">
          <cell r="C81" t="str">
            <v>Homoktakaró , baby taxi, trambulin</v>
          </cell>
        </row>
        <row r="82">
          <cell r="C82" t="str">
            <v>mikrohullámú sütő</v>
          </cell>
        </row>
        <row r="83">
          <cell r="C83" t="str">
            <v>benti csúszda</v>
          </cell>
        </row>
      </sheetData>
      <sheetData sheetId="11">
        <row r="5">
          <cell r="B5" t="str">
            <v>3 részes légkeveréses sütő</v>
          </cell>
        </row>
        <row r="6">
          <cell r="B6" t="str">
            <v>400 literes fagyasztó láda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 .sz.m. Létszám (2)"/>
      <sheetName val="7.a.sz.m.fejlesztés (4)"/>
      <sheetName val="7.b.sz.m.intfejl (2)"/>
      <sheetName val="8.sz.m.Dologi kiadás (3)"/>
      <sheetName val="9.sz.m.szociális kiadások (2)"/>
      <sheetName val="10.sz.m.átadott pe (3)"/>
      <sheetName val="11. sz adósság kötelezettség"/>
      <sheetName val="12. saját bevételek"/>
      <sheetName val="13. sz.m. előir felh terv"/>
      <sheetName val="14.sz.m. állami támogatás "/>
      <sheetName val="15.sz.m.többéves kihatás"/>
      <sheetName val="16. sz. m. EU "/>
      <sheetName val="üres lap"/>
    </sheetNames>
    <sheetDataSet>
      <sheetData sheetId="8">
        <row r="47">
          <cell r="B47" t="str">
            <v>MFP - Egészségház felújítása</v>
          </cell>
        </row>
        <row r="49">
          <cell r="B49" t="str">
            <v>MFP útfelújítás</v>
          </cell>
        </row>
        <row r="50">
          <cell r="B50" t="str">
            <v>MFP óvodaudvar - kerítésfelújítás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.a.sz.m.fejlesztés (3)"/>
      <sheetName val="6.b.sz.m.intfejl (2)"/>
      <sheetName val="7.sz.m.Dologi kiadás (3)"/>
      <sheetName val="8.sz.m.szociális kiadások (2)"/>
      <sheetName val="9.sz.m.átadott pe (3)"/>
      <sheetName val="10 .sz.m. Létszám (2)"/>
      <sheetName val="11.sz.m.maradvány"/>
      <sheetName val="12.sz.m.mérleg"/>
      <sheetName val="13amell.Vagyokim. Beled Önk"/>
      <sheetName val="13bmell.Vagyokim. Közös Hiv"/>
      <sheetName val="13cmell.Vagyokim.BÁMK"/>
      <sheetName val="13d.sz.m Önk. érték nélkül Bele"/>
      <sheetName val="13e.sz.m érték nélkül Közös Hiv"/>
      <sheetName val="13f.sz.m.érték nélkül BÁMK"/>
      <sheetName val="14. sz adósság kötelezettség"/>
      <sheetName val="15. saját bevételek"/>
      <sheetName val="16. sz.m. hitelállomány"/>
      <sheetName val="17.sz.m.akü"/>
      <sheetName val="18.sz.m. állami támogatás "/>
      <sheetName val="19. sz.m. közvetett tám. "/>
      <sheetName val="20.sz.m.többéves kihatás"/>
      <sheetName val="21.sz.m.részesedések"/>
      <sheetName val="22.sz.m. pe változás"/>
      <sheetName val="23. sz. m. EU "/>
      <sheetName val="üres lap"/>
    </sheetNames>
    <sheetDataSet>
      <sheetData sheetId="14">
        <row r="220">
          <cell r="F220">
            <v>0</v>
          </cell>
        </row>
        <row r="244">
          <cell r="F244">
            <v>0</v>
          </cell>
        </row>
        <row r="255">
          <cell r="F25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.a.sz.m.fejlesztés (4)"/>
      <sheetName val="6.b.sz.m.intfejl (2)"/>
      <sheetName val="7.sz.m.Dologi kiadás (3)"/>
      <sheetName val="8.sz.m.szociális kiadások (2)"/>
      <sheetName val="9.sz.m.átadott pe (3)"/>
      <sheetName val="10 .sz.m. Létszám (2)"/>
      <sheetName val="11.sz.m.maradvány"/>
      <sheetName val="12.sz.mérleg"/>
      <sheetName val="13amell.Vagyokim. Beled Önk"/>
      <sheetName val="13bmell.Vagyokim. Közös Hiv"/>
      <sheetName val="13cmell.Vagyokim.BÁMK"/>
      <sheetName val="13d.sz.m Önk. érték nélkül Bele"/>
      <sheetName val="13e.sz.m érték nélkül Közös Hiv"/>
      <sheetName val="13f.sz.m.érték nélkül BÁMK"/>
      <sheetName val="14. sz adósság kötelezettség"/>
      <sheetName val="15. saját bevételek"/>
      <sheetName val="16. sz.m. hitelállomány"/>
      <sheetName val="17.sz.m akü"/>
      <sheetName val="18.sz.m. állami támogatás "/>
      <sheetName val="19. sz.m. közvetett tám. "/>
      <sheetName val="20.sz.m.többéves kihatás"/>
      <sheetName val="21.sz.m.részesedések"/>
      <sheetName val="22.sz.m. pe változás"/>
      <sheetName val="23. sz. m. EU "/>
      <sheetName val="üres lap"/>
    </sheetNames>
    <sheetDataSet>
      <sheetData sheetId="0">
        <row r="8">
          <cell r="J8">
            <v>18435803</v>
          </cell>
        </row>
        <row r="13">
          <cell r="J13">
            <v>192680896</v>
          </cell>
        </row>
        <row r="20">
          <cell r="J20">
            <v>1694964</v>
          </cell>
        </row>
        <row r="25">
          <cell r="J25">
            <v>1043112</v>
          </cell>
        </row>
        <row r="55">
          <cell r="J55">
            <v>472441</v>
          </cell>
        </row>
      </sheetData>
      <sheetData sheetId="9">
        <row r="18">
          <cell r="I18">
            <v>12832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3"/>
  <sheetViews>
    <sheetView view="pageBreakPreview" zoomScale="60" zoomScaleNormal="70" workbookViewId="0" topLeftCell="A1">
      <pane ySplit="5" topLeftCell="A24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2" width="5.7109375" style="62" customWidth="1"/>
    <col min="3" max="3" width="8.8515625" style="62" customWidth="1"/>
    <col min="4" max="4" width="61.7109375" style="15" customWidth="1"/>
    <col min="5" max="5" width="24.28125" style="279" customWidth="1"/>
    <col min="6" max="7" width="20.00390625" style="279" hidden="1" customWidth="1"/>
    <col min="8" max="10" width="20.00390625" style="279" customWidth="1"/>
    <col min="11" max="11" width="20.00390625" style="280" customWidth="1"/>
    <col min="12" max="13" width="20.00390625" style="280" hidden="1" customWidth="1"/>
    <col min="14" max="15" width="20.00390625" style="280" customWidth="1"/>
    <col min="16" max="16" width="20.00390625" style="280" hidden="1" customWidth="1"/>
    <col min="17" max="17" width="20.00390625" style="280" customWidth="1"/>
    <col min="18" max="18" width="20.00390625" style="281" customWidth="1"/>
    <col min="19" max="20" width="20.00390625" style="280" hidden="1" customWidth="1"/>
    <col min="21" max="21" width="20.00390625" style="280" customWidth="1"/>
    <col min="22" max="27" width="20.00390625" style="281" customWidth="1"/>
    <col min="28" max="30" width="20.00390625" style="281" hidden="1" customWidth="1"/>
    <col min="31" max="31" width="20.00390625" style="281" customWidth="1"/>
    <col min="32" max="16384" width="9.140625" style="281" customWidth="1"/>
  </cols>
  <sheetData>
    <row r="1" spans="1:28" ht="12.75">
      <c r="A1" s="59"/>
      <c r="B1" s="59"/>
      <c r="C1" s="59"/>
      <c r="D1" s="60"/>
      <c r="O1" s="1836" t="s">
        <v>564</v>
      </c>
      <c r="P1" s="1837"/>
      <c r="Q1" s="1837"/>
      <c r="R1" s="1837"/>
      <c r="S1" s="1837"/>
      <c r="T1" s="1837"/>
      <c r="U1" s="1837"/>
      <c r="V1" s="1837"/>
      <c r="W1" s="1837"/>
      <c r="X1" s="1837"/>
      <c r="Y1" s="1837"/>
      <c r="Z1" s="1837"/>
      <c r="AA1" s="1837"/>
      <c r="AB1" s="1837"/>
    </row>
    <row r="2" spans="1:21" s="283" customFormat="1" ht="34.5" customHeight="1">
      <c r="A2" s="1847" t="s">
        <v>580</v>
      </c>
      <c r="B2" s="1847"/>
      <c r="C2" s="1847"/>
      <c r="D2" s="1847"/>
      <c r="E2" s="1847"/>
      <c r="F2" s="1847"/>
      <c r="G2" s="1847"/>
      <c r="H2" s="1847"/>
      <c r="I2" s="1847"/>
      <c r="J2" s="1847"/>
      <c r="K2" s="1847"/>
      <c r="L2" s="1847"/>
      <c r="M2" s="1847"/>
      <c r="N2" s="1847"/>
      <c r="O2" s="1847"/>
      <c r="P2" s="1847"/>
      <c r="Q2" s="1847"/>
      <c r="R2" s="1847"/>
      <c r="S2" s="206"/>
      <c r="T2" s="282"/>
      <c r="U2" s="282"/>
    </row>
    <row r="3" spans="1:18" ht="13.5" thickBot="1">
      <c r="A3" s="61"/>
      <c r="B3" s="61"/>
      <c r="C3" s="61"/>
      <c r="D3" s="57"/>
      <c r="K3" s="48"/>
      <c r="L3" s="48"/>
      <c r="M3" s="48"/>
      <c r="N3" s="48"/>
      <c r="O3" s="48"/>
      <c r="P3" s="48"/>
      <c r="Q3" s="48"/>
      <c r="R3" s="24" t="s">
        <v>445</v>
      </c>
    </row>
    <row r="4" spans="1:30" ht="45.75" customHeight="1" thickBot="1">
      <c r="A4" s="1848" t="s">
        <v>5</v>
      </c>
      <c r="B4" s="1849"/>
      <c r="C4" s="1849"/>
      <c r="D4" s="284" t="s">
        <v>8</v>
      </c>
      <c r="E4" s="1831" t="s">
        <v>4</v>
      </c>
      <c r="F4" s="1832"/>
      <c r="G4" s="1832"/>
      <c r="H4" s="1832"/>
      <c r="I4" s="1832"/>
      <c r="J4" s="1833"/>
      <c r="K4" s="1831" t="s">
        <v>60</v>
      </c>
      <c r="L4" s="1832"/>
      <c r="M4" s="1832"/>
      <c r="N4" s="1832"/>
      <c r="O4" s="1832"/>
      <c r="P4" s="1832"/>
      <c r="Q4" s="1833"/>
      <c r="R4" s="1831" t="s">
        <v>61</v>
      </c>
      <c r="S4" s="1832"/>
      <c r="T4" s="1832"/>
      <c r="U4" s="1832"/>
      <c r="V4" s="1832"/>
      <c r="W4" s="1833"/>
      <c r="X4" s="1831" t="s">
        <v>65</v>
      </c>
      <c r="Y4" s="1832"/>
      <c r="Z4" s="1832"/>
      <c r="AA4" s="1832"/>
      <c r="AB4" s="1832"/>
      <c r="AC4" s="1832"/>
      <c r="AD4" s="1833"/>
    </row>
    <row r="5" spans="1:30" ht="45.75" customHeight="1" thickBot="1">
      <c r="A5" s="266"/>
      <c r="B5" s="267"/>
      <c r="C5" s="267"/>
      <c r="D5" s="284"/>
      <c r="E5" s="318" t="s">
        <v>64</v>
      </c>
      <c r="F5" s="319" t="s">
        <v>219</v>
      </c>
      <c r="G5" s="319" t="s">
        <v>224</v>
      </c>
      <c r="H5" s="319" t="s">
        <v>226</v>
      </c>
      <c r="I5" s="319" t="s">
        <v>234</v>
      </c>
      <c r="J5" s="320" t="s">
        <v>434</v>
      </c>
      <c r="K5" s="318" t="s">
        <v>64</v>
      </c>
      <c r="L5" s="319" t="s">
        <v>219</v>
      </c>
      <c r="M5" s="319" t="s">
        <v>224</v>
      </c>
      <c r="N5" s="319" t="s">
        <v>226</v>
      </c>
      <c r="O5" s="319" t="s">
        <v>234</v>
      </c>
      <c r="P5" s="319" t="s">
        <v>439</v>
      </c>
      <c r="Q5" s="320" t="s">
        <v>434</v>
      </c>
      <c r="R5" s="318" t="s">
        <v>64</v>
      </c>
      <c r="S5" s="319" t="s">
        <v>219</v>
      </c>
      <c r="T5" s="319" t="s">
        <v>224</v>
      </c>
      <c r="U5" s="319" t="s">
        <v>226</v>
      </c>
      <c r="V5" s="319" t="s">
        <v>234</v>
      </c>
      <c r="W5" s="320" t="s">
        <v>434</v>
      </c>
      <c r="X5" s="318" t="s">
        <v>64</v>
      </c>
      <c r="Y5" s="319" t="s">
        <v>219</v>
      </c>
      <c r="Z5" s="319" t="s">
        <v>224</v>
      </c>
      <c r="AA5" s="319" t="s">
        <v>226</v>
      </c>
      <c r="AB5" s="319" t="s">
        <v>435</v>
      </c>
      <c r="AC5" s="319" t="s">
        <v>439</v>
      </c>
      <c r="AD5" s="1163"/>
    </row>
    <row r="6" spans="1:30" s="7" customFormat="1" ht="21.75" customHeight="1" thickBot="1">
      <c r="A6" s="72"/>
      <c r="B6" s="1829"/>
      <c r="C6" s="1829"/>
      <c r="D6" s="1829"/>
      <c r="E6" s="321"/>
      <c r="F6" s="246"/>
      <c r="G6" s="246"/>
      <c r="H6" s="246"/>
      <c r="I6" s="246"/>
      <c r="J6" s="664"/>
      <c r="K6" s="321"/>
      <c r="L6" s="246"/>
      <c r="M6" s="246"/>
      <c r="N6" s="246"/>
      <c r="O6" s="246"/>
      <c r="P6" s="246"/>
      <c r="Q6" s="664"/>
      <c r="R6" s="321"/>
      <c r="S6" s="246"/>
      <c r="T6" s="246"/>
      <c r="U6" s="246"/>
      <c r="V6" s="246"/>
      <c r="W6" s="664"/>
      <c r="X6" s="321"/>
      <c r="Y6" s="246"/>
      <c r="Z6" s="246"/>
      <c r="AA6" s="246"/>
      <c r="AB6" s="1164"/>
      <c r="AC6" s="246"/>
      <c r="AD6" s="1165"/>
    </row>
    <row r="7" spans="1:31" s="7" customFormat="1" ht="21.75" customHeight="1" thickBot="1">
      <c r="A7" s="72" t="s">
        <v>26</v>
      </c>
      <c r="B7" s="1829" t="s">
        <v>272</v>
      </c>
      <c r="C7" s="1829"/>
      <c r="D7" s="1829"/>
      <c r="E7" s="321">
        <f aca="true" t="shared" si="0" ref="E7:P7">E8+E13+E16+E17+E20</f>
        <v>219910000</v>
      </c>
      <c r="F7" s="246">
        <f t="shared" si="0"/>
        <v>206228365</v>
      </c>
      <c r="G7" s="246">
        <f t="shared" si="0"/>
        <v>206228365</v>
      </c>
      <c r="H7" s="246">
        <f>H8+H13+H16+H17+H20</f>
        <v>210825770</v>
      </c>
      <c r="I7" s="246">
        <f t="shared" si="0"/>
        <v>205515720</v>
      </c>
      <c r="J7" s="1785">
        <f>SUM(I7/H7)</f>
        <v>0.9748130885517459</v>
      </c>
      <c r="K7" s="321">
        <f t="shared" si="0"/>
        <v>205233131</v>
      </c>
      <c r="L7" s="246">
        <f>L8+L13+L16+L17+L20</f>
        <v>183591717</v>
      </c>
      <c r="M7" s="246">
        <f>M8+M13+M16+M17+M20</f>
        <v>183591717</v>
      </c>
      <c r="N7" s="246">
        <f>N8+N13+N16+N17+N20</f>
        <v>192863718</v>
      </c>
      <c r="O7" s="246">
        <f t="shared" si="0"/>
        <v>187553668</v>
      </c>
      <c r="P7" s="246">
        <f t="shared" si="0"/>
        <v>0</v>
      </c>
      <c r="Q7" s="665">
        <f>SUM(O7/N7)</f>
        <v>0.9724673460873549</v>
      </c>
      <c r="R7" s="321">
        <f>R8+R13+R16+R17+R20</f>
        <v>14676869</v>
      </c>
      <c r="S7" s="246">
        <f>S8+S13+S16+S17+S20</f>
        <v>22636648</v>
      </c>
      <c r="T7" s="246">
        <f>T8+T13+T16+T17+T20</f>
        <v>22636648</v>
      </c>
      <c r="U7" s="246">
        <f>U8+U13+U16+U17+U20</f>
        <v>17962052</v>
      </c>
      <c r="V7" s="246">
        <f>V8+V13+V16+V17+V20</f>
        <v>17962052</v>
      </c>
      <c r="W7" s="665">
        <f>SUM(U7/T7)</f>
        <v>0.7934943371474433</v>
      </c>
      <c r="X7" s="321">
        <f aca="true" t="shared" si="1" ref="X7:AD7">X8+X13+X16+X17+X20</f>
        <v>0</v>
      </c>
      <c r="Y7" s="246">
        <f>Y8+Y13+Y16+Y17+Y20</f>
        <v>0</v>
      </c>
      <c r="Z7" s="246">
        <f>Z8+Z13+Z16+Z17+Z20</f>
        <v>0</v>
      </c>
      <c r="AA7" s="246">
        <f>AA8+AA13+AA16+AA17+AA20</f>
        <v>0</v>
      </c>
      <c r="AB7" s="246">
        <f t="shared" si="1"/>
        <v>5610894</v>
      </c>
      <c r="AC7" s="246">
        <f t="shared" si="1"/>
        <v>5610894</v>
      </c>
      <c r="AD7" s="664">
        <f t="shared" si="1"/>
        <v>5610894</v>
      </c>
      <c r="AE7" s="931"/>
    </row>
    <row r="8" spans="1:31" ht="21.75" customHeight="1">
      <c r="A8" s="545"/>
      <c r="B8" s="208" t="s">
        <v>35</v>
      </c>
      <c r="C8" s="1838" t="s">
        <v>273</v>
      </c>
      <c r="D8" s="1838"/>
      <c r="E8" s="393">
        <f aca="true" t="shared" si="2" ref="E8:P8">SUM(E9:E12)</f>
        <v>19350000</v>
      </c>
      <c r="F8" s="394">
        <f t="shared" si="2"/>
        <v>19350000</v>
      </c>
      <c r="G8" s="394">
        <f t="shared" si="2"/>
        <v>19350000</v>
      </c>
      <c r="H8" s="394">
        <f>SUM(H9:H12)</f>
        <v>20155482</v>
      </c>
      <c r="I8" s="394">
        <f t="shared" si="2"/>
        <v>19867796</v>
      </c>
      <c r="J8" s="1786">
        <f>SUM(I8/H8)</f>
        <v>0.9857266623541923</v>
      </c>
      <c r="K8" s="393">
        <f t="shared" si="2"/>
        <v>19350000</v>
      </c>
      <c r="L8" s="394">
        <f>SUM(L9:L12)</f>
        <v>19350000</v>
      </c>
      <c r="M8" s="394">
        <f>SUM(M9:M12)</f>
        <v>19350000</v>
      </c>
      <c r="N8" s="394">
        <f>SUM(N9:N12)</f>
        <v>20155482</v>
      </c>
      <c r="O8" s="394">
        <f t="shared" si="2"/>
        <v>19867796</v>
      </c>
      <c r="P8" s="394">
        <f t="shared" si="2"/>
        <v>0</v>
      </c>
      <c r="Q8" s="1786">
        <f>SUM(O8/N8)</f>
        <v>0.9857266623541923</v>
      </c>
      <c r="R8" s="393">
        <v>0</v>
      </c>
      <c r="S8" s="394">
        <v>0</v>
      </c>
      <c r="T8" s="394">
        <v>0</v>
      </c>
      <c r="U8" s="394">
        <v>0</v>
      </c>
      <c r="V8" s="394"/>
      <c r="W8" s="1161"/>
      <c r="X8" s="393">
        <v>0</v>
      </c>
      <c r="Y8" s="394">
        <v>0</v>
      </c>
      <c r="Z8" s="394">
        <v>0</v>
      </c>
      <c r="AA8" s="394">
        <v>0</v>
      </c>
      <c r="AB8" s="394">
        <v>0</v>
      </c>
      <c r="AC8" s="394">
        <v>0</v>
      </c>
      <c r="AD8" s="1161">
        <v>0</v>
      </c>
      <c r="AE8" s="931"/>
    </row>
    <row r="9" spans="1:31" ht="21.75" customHeight="1">
      <c r="A9" s="69"/>
      <c r="B9" s="65"/>
      <c r="C9" s="65" t="s">
        <v>278</v>
      </c>
      <c r="D9" s="285" t="s">
        <v>274</v>
      </c>
      <c r="E9" s="323">
        <f>'3.sz.m Önk  bev.'!E9</f>
        <v>0</v>
      </c>
      <c r="F9" s="248">
        <f>'3.sz.m Önk  bev.'!F9</f>
        <v>0</v>
      </c>
      <c r="G9" s="248">
        <f>'3.sz.m Önk  bev.'!G9</f>
        <v>0</v>
      </c>
      <c r="H9" s="248">
        <f>'3.sz.m Önk  bev.'!H9</f>
        <v>0</v>
      </c>
      <c r="I9" s="248">
        <f>'3.sz.m Önk  bev.'!I9</f>
        <v>0</v>
      </c>
      <c r="J9" s="247">
        <f>'3.sz.m Önk  bev.'!J9</f>
        <v>0</v>
      </c>
      <c r="K9" s="323">
        <f>'3.sz.m Önk  bev.'!L9</f>
        <v>0</v>
      </c>
      <c r="L9" s="248">
        <f>'3.sz.m Önk  bev.'!M9</f>
        <v>0</v>
      </c>
      <c r="M9" s="248">
        <f>'3.sz.m Önk  bev.'!N9</f>
        <v>0</v>
      </c>
      <c r="N9" s="248">
        <f>'3.sz.m Önk  bev.'!O9</f>
        <v>0</v>
      </c>
      <c r="O9" s="248">
        <f>'3.sz.m Önk  bev.'!P9</f>
        <v>0</v>
      </c>
      <c r="P9" s="248">
        <f>'3.sz.m Önk  bev.'!Q9</f>
        <v>0</v>
      </c>
      <c r="Q9" s="1791"/>
      <c r="R9" s="323">
        <v>0</v>
      </c>
      <c r="S9" s="248">
        <v>0</v>
      </c>
      <c r="T9" s="248">
        <v>0</v>
      </c>
      <c r="U9" s="248">
        <v>0</v>
      </c>
      <c r="V9" s="248"/>
      <c r="W9" s="818"/>
      <c r="X9" s="323">
        <v>0</v>
      </c>
      <c r="Y9" s="248">
        <v>0</v>
      </c>
      <c r="Z9" s="248">
        <v>0</v>
      </c>
      <c r="AA9" s="248">
        <v>0</v>
      </c>
      <c r="AB9" s="248">
        <v>0</v>
      </c>
      <c r="AC9" s="248">
        <v>0</v>
      </c>
      <c r="AD9" s="818">
        <v>0</v>
      </c>
      <c r="AE9" s="931"/>
    </row>
    <row r="10" spans="1:31" ht="21.75" customHeight="1">
      <c r="A10" s="69"/>
      <c r="B10" s="65"/>
      <c r="C10" s="65" t="s">
        <v>279</v>
      </c>
      <c r="D10" s="285" t="s">
        <v>259</v>
      </c>
      <c r="E10" s="323">
        <f>'3.sz.m Önk  bev.'!E10</f>
        <v>0</v>
      </c>
      <c r="F10" s="248">
        <f>'3.sz.m Önk  bev.'!F10</f>
        <v>0</v>
      </c>
      <c r="G10" s="248">
        <f>'3.sz.m Önk  bev.'!G10</f>
        <v>0</v>
      </c>
      <c r="H10" s="248">
        <f>'3.sz.m Önk  bev.'!H10</f>
        <v>0</v>
      </c>
      <c r="I10" s="248">
        <f>'3.sz.m Önk  bev.'!I10</f>
        <v>0</v>
      </c>
      <c r="J10" s="1787">
        <f>'3.sz.m Önk  bev.'!J10</f>
        <v>0</v>
      </c>
      <c r="K10" s="323">
        <f>'3.sz.m Önk  bev.'!L10</f>
        <v>0</v>
      </c>
      <c r="L10" s="248">
        <f>'3.sz.m Önk  bev.'!M10</f>
        <v>0</v>
      </c>
      <c r="M10" s="248">
        <f>'3.sz.m Önk  bev.'!N10</f>
        <v>0</v>
      </c>
      <c r="N10" s="248">
        <f>'3.sz.m Önk  bev.'!O10</f>
        <v>0</v>
      </c>
      <c r="O10" s="248">
        <f>'3.sz.m Önk  bev.'!P10</f>
        <v>0</v>
      </c>
      <c r="P10" s="248">
        <f>'3.sz.m Önk  bev.'!Q10</f>
        <v>0</v>
      </c>
      <c r="Q10" s="1792"/>
      <c r="R10" s="323">
        <v>0</v>
      </c>
      <c r="S10" s="248">
        <v>0</v>
      </c>
      <c r="T10" s="248">
        <v>0</v>
      </c>
      <c r="U10" s="248">
        <v>0</v>
      </c>
      <c r="V10" s="248"/>
      <c r="W10" s="818"/>
      <c r="X10" s="323">
        <v>0</v>
      </c>
      <c r="Y10" s="248">
        <v>0</v>
      </c>
      <c r="Z10" s="248">
        <v>0</v>
      </c>
      <c r="AA10" s="248">
        <v>0</v>
      </c>
      <c r="AB10" s="248">
        <v>0</v>
      </c>
      <c r="AC10" s="248">
        <v>0</v>
      </c>
      <c r="AD10" s="818">
        <v>0</v>
      </c>
      <c r="AE10" s="931"/>
    </row>
    <row r="11" spans="1:31" ht="21.75" customHeight="1">
      <c r="A11" s="69"/>
      <c r="B11" s="65"/>
      <c r="C11" s="65" t="s">
        <v>280</v>
      </c>
      <c r="D11" s="285" t="s">
        <v>258</v>
      </c>
      <c r="E11" s="323">
        <f>'3.sz.m Önk  bev.'!E11</f>
        <v>19350000</v>
      </c>
      <c r="F11" s="248">
        <f>'3.sz.m Önk  bev.'!F11</f>
        <v>19350000</v>
      </c>
      <c r="G11" s="248">
        <f>'3.sz.m Önk  bev.'!G11</f>
        <v>19350000</v>
      </c>
      <c r="H11" s="248">
        <f>'3.sz.m Önk  bev.'!H11</f>
        <v>20155482</v>
      </c>
      <c r="I11" s="248">
        <f>'3.sz.m Önk  bev.'!I11</f>
        <v>19867796</v>
      </c>
      <c r="J11" s="1788">
        <f>SUM(I11/H11)</f>
        <v>0.9857266623541923</v>
      </c>
      <c r="K11" s="323">
        <f>'3.sz.m Önk  bev.'!L11</f>
        <v>19350000</v>
      </c>
      <c r="L11" s="248">
        <f>'3.sz.m Önk  bev.'!M11</f>
        <v>19350000</v>
      </c>
      <c r="M11" s="248">
        <f>'3.sz.m Önk  bev.'!N11</f>
        <v>19350000</v>
      </c>
      <c r="N11" s="248">
        <f>'3.sz.m Önk  bev.'!O11</f>
        <v>20155482</v>
      </c>
      <c r="O11" s="248">
        <f>'3.sz.m Önk  bev.'!P11</f>
        <v>19867796</v>
      </c>
      <c r="P11" s="248">
        <f>'3.sz.m Önk  bev.'!Q11</f>
        <v>0</v>
      </c>
      <c r="Q11" s="1788">
        <f>SUM(O11/N11)</f>
        <v>0.9857266623541923</v>
      </c>
      <c r="R11" s="323">
        <v>0</v>
      </c>
      <c r="S11" s="248">
        <v>0</v>
      </c>
      <c r="T11" s="248">
        <v>0</v>
      </c>
      <c r="U11" s="248">
        <v>0</v>
      </c>
      <c r="V11" s="248"/>
      <c r="W11" s="818"/>
      <c r="X11" s="323">
        <v>0</v>
      </c>
      <c r="Y11" s="248">
        <v>0</v>
      </c>
      <c r="Z11" s="248">
        <v>0</v>
      </c>
      <c r="AA11" s="248">
        <v>0</v>
      </c>
      <c r="AB11" s="248">
        <v>0</v>
      </c>
      <c r="AC11" s="248">
        <v>0</v>
      </c>
      <c r="AD11" s="818">
        <v>0</v>
      </c>
      <c r="AE11" s="931"/>
    </row>
    <row r="12" spans="1:33" ht="21.75" customHeight="1" hidden="1">
      <c r="A12" s="69"/>
      <c r="B12" s="65"/>
      <c r="C12" s="65"/>
      <c r="D12" s="285"/>
      <c r="E12" s="323"/>
      <c r="F12" s="248"/>
      <c r="G12" s="248"/>
      <c r="H12" s="248"/>
      <c r="I12" s="248"/>
      <c r="J12" s="1788" t="e">
        <f>SUM(I12/H12)</f>
        <v>#DIV/0!</v>
      </c>
      <c r="K12" s="323"/>
      <c r="L12" s="248"/>
      <c r="M12" s="248"/>
      <c r="N12" s="248"/>
      <c r="O12" s="248"/>
      <c r="P12" s="248"/>
      <c r="Q12" s="1788" t="e">
        <f>SUM(O12/N12)</f>
        <v>#DIV/0!</v>
      </c>
      <c r="R12" s="323"/>
      <c r="S12" s="248"/>
      <c r="T12" s="248"/>
      <c r="U12" s="248"/>
      <c r="V12" s="248"/>
      <c r="W12" s="1793"/>
      <c r="X12" s="323"/>
      <c r="Y12" s="248"/>
      <c r="Z12" s="248"/>
      <c r="AA12" s="248"/>
      <c r="AB12" s="248"/>
      <c r="AC12" s="248"/>
      <c r="AD12" s="818"/>
      <c r="AE12" s="931"/>
      <c r="AG12" s="281" t="s">
        <v>235</v>
      </c>
    </row>
    <row r="13" spans="1:31" ht="21.75" customHeight="1">
      <c r="A13" s="69"/>
      <c r="B13" s="65" t="s">
        <v>36</v>
      </c>
      <c r="C13" s="1842" t="s">
        <v>275</v>
      </c>
      <c r="D13" s="1842"/>
      <c r="E13" s="323">
        <f aca="true" t="shared" si="3" ref="E13:X13">SUM(E14:E15)</f>
        <v>185000000</v>
      </c>
      <c r="F13" s="248">
        <f t="shared" si="3"/>
        <v>185000000</v>
      </c>
      <c r="G13" s="248">
        <f t="shared" si="3"/>
        <v>185000000</v>
      </c>
      <c r="H13" s="248">
        <f>SUM(H14:H15)</f>
        <v>186935256</v>
      </c>
      <c r="I13" s="248">
        <f t="shared" si="3"/>
        <v>183333814</v>
      </c>
      <c r="J13" s="1788">
        <f>SUM(I13/H13)</f>
        <v>0.9807342816060337</v>
      </c>
      <c r="K13" s="323">
        <f t="shared" si="3"/>
        <v>170323131</v>
      </c>
      <c r="L13" s="248">
        <f>SUM(L14:L15)</f>
        <v>162363352</v>
      </c>
      <c r="M13" s="248">
        <f>SUM(M14:M15)</f>
        <v>162363352</v>
      </c>
      <c r="N13" s="248">
        <f>SUM(N14:N15)</f>
        <v>168973204</v>
      </c>
      <c r="O13" s="248">
        <f t="shared" si="3"/>
        <v>165371762</v>
      </c>
      <c r="P13" s="248">
        <f t="shared" si="3"/>
        <v>0</v>
      </c>
      <c r="Q13" s="1788">
        <f>SUM(O13/N13)</f>
        <v>0.9786863128901787</v>
      </c>
      <c r="R13" s="323">
        <f t="shared" si="3"/>
        <v>14676869</v>
      </c>
      <c r="S13" s="248">
        <f>SUM(S14:S15)</f>
        <v>22636648</v>
      </c>
      <c r="T13" s="248">
        <f>SUM(T14:T15)</f>
        <v>22636648</v>
      </c>
      <c r="U13" s="248">
        <f>SUM(U14:U15)</f>
        <v>17962052</v>
      </c>
      <c r="V13" s="248">
        <f t="shared" si="3"/>
        <v>17962052</v>
      </c>
      <c r="W13" s="1788">
        <f>SUM(U13/T13)</f>
        <v>0.7934943371474433</v>
      </c>
      <c r="X13" s="323">
        <f t="shared" si="3"/>
        <v>0</v>
      </c>
      <c r="Y13" s="248">
        <f aca="true" t="shared" si="4" ref="Y13:AD13">SUM(Y14:Y15)</f>
        <v>0</v>
      </c>
      <c r="Z13" s="248">
        <f>SUM(Z14:Z15)</f>
        <v>0</v>
      </c>
      <c r="AA13" s="248">
        <f>SUM(AA14:AA15)</f>
        <v>0</v>
      </c>
      <c r="AB13" s="248">
        <f t="shared" si="4"/>
        <v>5610894</v>
      </c>
      <c r="AC13" s="248">
        <f t="shared" si="4"/>
        <v>5610894</v>
      </c>
      <c r="AD13" s="818">
        <f t="shared" si="4"/>
        <v>5610894</v>
      </c>
      <c r="AE13" s="931"/>
    </row>
    <row r="14" spans="1:31" ht="21.75" customHeight="1">
      <c r="A14" s="69"/>
      <c r="B14" s="65"/>
      <c r="C14" s="65" t="s">
        <v>276</v>
      </c>
      <c r="D14" s="490" t="s">
        <v>281</v>
      </c>
      <c r="E14" s="323">
        <f>'3.sz.m Önk  bev.'!E14</f>
        <v>185000000</v>
      </c>
      <c r="F14" s="248">
        <f>'3.sz.m Önk  bev.'!F14</f>
        <v>185000000</v>
      </c>
      <c r="G14" s="248">
        <f>'3.sz.m Önk  bev.'!G14</f>
        <v>185000000</v>
      </c>
      <c r="H14" s="248">
        <f>'3.sz.m Önk  bev.'!H14</f>
        <v>186935256</v>
      </c>
      <c r="I14" s="248">
        <f>'3.sz.m Önk  bev.'!I14</f>
        <v>183333814</v>
      </c>
      <c r="J14" s="1788">
        <f>SUM(I14/H14)</f>
        <v>0.9807342816060337</v>
      </c>
      <c r="K14" s="323">
        <f>'3.sz.m Önk  bev.'!L14</f>
        <v>170323131</v>
      </c>
      <c r="L14" s="248">
        <f>'3.sz.m Önk  bev.'!M14</f>
        <v>162363352</v>
      </c>
      <c r="M14" s="248">
        <f>'3.sz.m Önk  bev.'!N14</f>
        <v>162363352</v>
      </c>
      <c r="N14" s="248">
        <f>'3.sz.m Önk  bev.'!O14</f>
        <v>168973204</v>
      </c>
      <c r="O14" s="248">
        <f>'3.sz.m Önk  bev.'!P14</f>
        <v>165371762</v>
      </c>
      <c r="P14" s="248">
        <f>'3.sz.m Önk  bev.'!Q14</f>
        <v>0</v>
      </c>
      <c r="Q14" s="1788">
        <f>SUM(O14/N14)</f>
        <v>0.9786863128901787</v>
      </c>
      <c r="R14" s="323">
        <f>'3.sz.m Önk  bev.'!S14</f>
        <v>14676869</v>
      </c>
      <c r="S14" s="248">
        <f>'3.sz.m Önk  bev.'!T14</f>
        <v>22636648</v>
      </c>
      <c r="T14" s="248">
        <f>'3.sz.m Önk  bev.'!U14</f>
        <v>22636648</v>
      </c>
      <c r="U14" s="248">
        <f>'3.sz.m Önk  bev.'!V14</f>
        <v>17962052</v>
      </c>
      <c r="V14" s="248">
        <f>'3.sz.m Önk  bev.'!W14</f>
        <v>17962052</v>
      </c>
      <c r="W14" s="1788">
        <f>SUM(U14/T14)</f>
        <v>0.7934943371474433</v>
      </c>
      <c r="X14" s="887">
        <f>+'1 .sz.m.önk.össz.kiad.'!X36</f>
        <v>0</v>
      </c>
      <c r="Y14" s="888">
        <f>+'1 .sz.m.önk.össz.kiad.'!Y36</f>
        <v>0</v>
      </c>
      <c r="Z14" s="888">
        <f>+'1 .sz.m.önk.össz.kiad.'!Z36</f>
        <v>0</v>
      </c>
      <c r="AA14" s="888">
        <f>+'1 .sz.m.önk.össz.kiad.'!AA36</f>
        <v>0</v>
      </c>
      <c r="AB14" s="248">
        <v>5610894</v>
      </c>
      <c r="AC14" s="248">
        <v>5610894</v>
      </c>
      <c r="AD14" s="818">
        <v>5610894</v>
      </c>
      <c r="AE14" s="931"/>
    </row>
    <row r="15" spans="1:31" ht="21.75" customHeight="1">
      <c r="A15" s="69"/>
      <c r="B15" s="65"/>
      <c r="C15" s="65" t="s">
        <v>277</v>
      </c>
      <c r="D15" s="490" t="s">
        <v>282</v>
      </c>
      <c r="E15" s="323">
        <f>'3.sz.m Önk  bev.'!E15</f>
        <v>0</v>
      </c>
      <c r="F15" s="248">
        <f>'3.sz.m Önk  bev.'!F15</f>
        <v>0</v>
      </c>
      <c r="G15" s="248">
        <f>'3.sz.m Önk  bev.'!G15</f>
        <v>0</v>
      </c>
      <c r="H15" s="248">
        <f>'3.sz.m Önk  bev.'!H15</f>
        <v>0</v>
      </c>
      <c r="I15" s="248">
        <f>'3.sz.m Önk  bev.'!I15</f>
        <v>0</v>
      </c>
      <c r="J15" s="1788"/>
      <c r="K15" s="323">
        <f>'3.sz.m Önk  bev.'!L15</f>
        <v>0</v>
      </c>
      <c r="L15" s="248">
        <f>'3.sz.m Önk  bev.'!M15</f>
        <v>0</v>
      </c>
      <c r="M15" s="248">
        <f>'3.sz.m Önk  bev.'!N15</f>
        <v>0</v>
      </c>
      <c r="N15" s="248">
        <f>'3.sz.m Önk  bev.'!O15</f>
        <v>0</v>
      </c>
      <c r="O15" s="248">
        <f>'3.sz.m Önk  bev.'!P15</f>
        <v>0</v>
      </c>
      <c r="P15" s="248">
        <f>'3.sz.m Önk  bev.'!Q15</f>
        <v>0</v>
      </c>
      <c r="Q15" s="1788"/>
      <c r="R15" s="323">
        <v>0</v>
      </c>
      <c r="S15" s="248">
        <v>0</v>
      </c>
      <c r="T15" s="248">
        <v>0</v>
      </c>
      <c r="U15" s="248">
        <v>0</v>
      </c>
      <c r="V15" s="248"/>
      <c r="W15" s="818"/>
      <c r="X15" s="323">
        <v>0</v>
      </c>
      <c r="Y15" s="248">
        <v>0</v>
      </c>
      <c r="Z15" s="248">
        <v>0</v>
      </c>
      <c r="AA15" s="248">
        <v>0</v>
      </c>
      <c r="AB15" s="248">
        <v>0</v>
      </c>
      <c r="AC15" s="248">
        <v>0</v>
      </c>
      <c r="AD15" s="818">
        <v>0</v>
      </c>
      <c r="AE15" s="931"/>
    </row>
    <row r="16" spans="1:31" ht="21.75" customHeight="1">
      <c r="A16" s="69"/>
      <c r="B16" s="65" t="s">
        <v>112</v>
      </c>
      <c r="C16" s="1842" t="s">
        <v>283</v>
      </c>
      <c r="D16" s="1842"/>
      <c r="E16" s="323">
        <f>'3.sz.m Önk  bev.'!E16</f>
        <v>14150000</v>
      </c>
      <c r="F16" s="248">
        <f>'3.sz.m Önk  bev.'!F16</f>
        <v>468365</v>
      </c>
      <c r="G16" s="248">
        <f>'3.sz.m Önk  bev.'!G16</f>
        <v>468365</v>
      </c>
      <c r="H16" s="248">
        <f>'3.sz.m Önk  bev.'!H16</f>
        <v>468365</v>
      </c>
      <c r="I16" s="248">
        <f>'3.sz.m Önk  bev.'!I16</f>
        <v>468365</v>
      </c>
      <c r="J16" s="1788">
        <f>SUM(I16/H16)</f>
        <v>1</v>
      </c>
      <c r="K16" s="323">
        <f>'3.sz.m Önk  bev.'!L16</f>
        <v>14150000</v>
      </c>
      <c r="L16" s="248">
        <f>'3.sz.m Önk  bev.'!M16</f>
        <v>468365</v>
      </c>
      <c r="M16" s="248">
        <f>'3.sz.m Önk  bev.'!N16</f>
        <v>468365</v>
      </c>
      <c r="N16" s="248">
        <f>'3.sz.m Önk  bev.'!O16</f>
        <v>468365</v>
      </c>
      <c r="O16" s="248">
        <f>'3.sz.m Önk  bev.'!P16</f>
        <v>468365</v>
      </c>
      <c r="P16" s="248">
        <f>'3.sz.m Önk  bev.'!Q16</f>
        <v>0</v>
      </c>
      <c r="Q16" s="1788">
        <f>SUM(O16/N16)</f>
        <v>1</v>
      </c>
      <c r="R16" s="323">
        <v>0</v>
      </c>
      <c r="S16" s="248">
        <v>0</v>
      </c>
      <c r="T16" s="248">
        <v>0</v>
      </c>
      <c r="U16" s="248">
        <v>0</v>
      </c>
      <c r="V16" s="248"/>
      <c r="W16" s="818"/>
      <c r="X16" s="323">
        <v>0</v>
      </c>
      <c r="Y16" s="248">
        <v>0</v>
      </c>
      <c r="Z16" s="248">
        <v>0</v>
      </c>
      <c r="AA16" s="248">
        <v>0</v>
      </c>
      <c r="AB16" s="248">
        <v>0</v>
      </c>
      <c r="AC16" s="248">
        <v>0</v>
      </c>
      <c r="AD16" s="818">
        <v>0</v>
      </c>
      <c r="AE16" s="931"/>
    </row>
    <row r="17" spans="1:31" ht="21.75" customHeight="1">
      <c r="A17" s="69"/>
      <c r="B17" s="65" t="s">
        <v>48</v>
      </c>
      <c r="C17" s="1843" t="s">
        <v>284</v>
      </c>
      <c r="D17" s="1844"/>
      <c r="E17" s="323">
        <f aca="true" t="shared" si="5" ref="E17:P17">SUM(E18:E19)</f>
        <v>0</v>
      </c>
      <c r="F17" s="248">
        <f t="shared" si="5"/>
        <v>0</v>
      </c>
      <c r="G17" s="248">
        <f t="shared" si="5"/>
        <v>0</v>
      </c>
      <c r="H17" s="248">
        <f>SUM(H18:H19)</f>
        <v>0</v>
      </c>
      <c r="I17" s="248">
        <f t="shared" si="5"/>
        <v>0</v>
      </c>
      <c r="J17" s="248">
        <f t="shared" si="5"/>
        <v>0</v>
      </c>
      <c r="K17" s="323">
        <f t="shared" si="5"/>
        <v>0</v>
      </c>
      <c r="L17" s="248">
        <f>SUM(L18:L19)</f>
        <v>0</v>
      </c>
      <c r="M17" s="248">
        <f>SUM(M18:M19)</f>
        <v>0</v>
      </c>
      <c r="N17" s="248">
        <f>SUM(N18:N19)</f>
        <v>0</v>
      </c>
      <c r="O17" s="248">
        <f t="shared" si="5"/>
        <v>0</v>
      </c>
      <c r="P17" s="248">
        <f t="shared" si="5"/>
        <v>0</v>
      </c>
      <c r="Q17" s="666"/>
      <c r="R17" s="323">
        <v>0</v>
      </c>
      <c r="S17" s="248">
        <v>0</v>
      </c>
      <c r="T17" s="248">
        <v>0</v>
      </c>
      <c r="U17" s="248">
        <v>0</v>
      </c>
      <c r="V17" s="248"/>
      <c r="W17" s="818"/>
      <c r="X17" s="323">
        <v>0</v>
      </c>
      <c r="Y17" s="248">
        <v>0</v>
      </c>
      <c r="Z17" s="248">
        <v>0</v>
      </c>
      <c r="AA17" s="248">
        <v>0</v>
      </c>
      <c r="AB17" s="248">
        <v>0</v>
      </c>
      <c r="AC17" s="248">
        <v>0</v>
      </c>
      <c r="AD17" s="818">
        <v>0</v>
      </c>
      <c r="AE17" s="931"/>
    </row>
    <row r="18" spans="1:31" ht="21.75" customHeight="1">
      <c r="A18" s="69"/>
      <c r="B18" s="65"/>
      <c r="C18" s="65" t="s">
        <v>285</v>
      </c>
      <c r="D18" s="490" t="s">
        <v>287</v>
      </c>
      <c r="E18" s="323">
        <f>'3.sz.m Önk  bev.'!E18</f>
        <v>0</v>
      </c>
      <c r="F18" s="248">
        <f>'3.sz.m Önk  bev.'!F18</f>
        <v>0</v>
      </c>
      <c r="G18" s="248">
        <f>'3.sz.m Önk  bev.'!G18</f>
        <v>0</v>
      </c>
      <c r="H18" s="248">
        <f>'3.sz.m Önk  bev.'!H18</f>
        <v>0</v>
      </c>
      <c r="I18" s="248">
        <f>'3.sz.m Önk  bev.'!I18</f>
        <v>0</v>
      </c>
      <c r="J18" s="248">
        <f>'3.sz.m Önk  bev.'!J18</f>
        <v>0</v>
      </c>
      <c r="K18" s="323">
        <f>'3.sz.m Önk  bev.'!L18</f>
        <v>0</v>
      </c>
      <c r="L18" s="248">
        <f>'3.sz.m Önk  bev.'!M18</f>
        <v>0</v>
      </c>
      <c r="M18" s="248">
        <f>'3.sz.m Önk  bev.'!N18</f>
        <v>0</v>
      </c>
      <c r="N18" s="248">
        <f>'3.sz.m Önk  bev.'!O18</f>
        <v>0</v>
      </c>
      <c r="O18" s="248">
        <f>'3.sz.m Önk  bev.'!P18</f>
        <v>0</v>
      </c>
      <c r="P18" s="248">
        <f>'3.sz.m Önk  bev.'!Q18</f>
        <v>0</v>
      </c>
      <c r="Q18" s="666"/>
      <c r="R18" s="323">
        <v>0</v>
      </c>
      <c r="S18" s="248">
        <v>0</v>
      </c>
      <c r="T18" s="248">
        <v>0</v>
      </c>
      <c r="U18" s="248">
        <v>0</v>
      </c>
      <c r="V18" s="248"/>
      <c r="W18" s="818"/>
      <c r="X18" s="323">
        <v>0</v>
      </c>
      <c r="Y18" s="248">
        <v>0</v>
      </c>
      <c r="Z18" s="248">
        <v>0</v>
      </c>
      <c r="AA18" s="248">
        <v>0</v>
      </c>
      <c r="AB18" s="248">
        <v>0</v>
      </c>
      <c r="AC18" s="248">
        <v>0</v>
      </c>
      <c r="AD18" s="818">
        <v>0</v>
      </c>
      <c r="AE18" s="931"/>
    </row>
    <row r="19" spans="1:31" ht="21.75" customHeight="1" hidden="1">
      <c r="A19" s="69"/>
      <c r="B19" s="65"/>
      <c r="C19" s="65" t="s">
        <v>286</v>
      </c>
      <c r="D19" s="490" t="s">
        <v>260</v>
      </c>
      <c r="E19" s="323">
        <f>'3.sz.m Önk  bev.'!E19</f>
        <v>0</v>
      </c>
      <c r="F19" s="248">
        <f>'3.sz.m Önk  bev.'!F19</f>
        <v>0</v>
      </c>
      <c r="G19" s="248">
        <f>'3.sz.m Önk  bev.'!G19</f>
        <v>0</v>
      </c>
      <c r="H19" s="248">
        <f>'3.sz.m Önk  bev.'!H19</f>
        <v>0</v>
      </c>
      <c r="I19" s="248">
        <f>'3.sz.m Önk  bev.'!I19</f>
        <v>0</v>
      </c>
      <c r="J19" s="248">
        <f>'3.sz.m Önk  bev.'!J19</f>
        <v>0</v>
      </c>
      <c r="K19" s="323">
        <f>'3.sz.m Önk  bev.'!L19</f>
        <v>0</v>
      </c>
      <c r="L19" s="248">
        <f>'3.sz.m Önk  bev.'!M19</f>
        <v>0</v>
      </c>
      <c r="M19" s="248">
        <f>'3.sz.m Önk  bev.'!N19</f>
        <v>0</v>
      </c>
      <c r="N19" s="248">
        <f>'3.sz.m Önk  bev.'!O19</f>
        <v>0</v>
      </c>
      <c r="O19" s="248">
        <f>'3.sz.m Önk  bev.'!P19</f>
        <v>0</v>
      </c>
      <c r="P19" s="248">
        <f>'3.sz.m Önk  bev.'!Q19</f>
        <v>0</v>
      </c>
      <c r="Q19" s="666" t="e">
        <f>P19/N19</f>
        <v>#DIV/0!</v>
      </c>
      <c r="R19" s="323">
        <v>0</v>
      </c>
      <c r="S19" s="248">
        <v>0</v>
      </c>
      <c r="T19" s="248">
        <v>0</v>
      </c>
      <c r="U19" s="248">
        <v>0</v>
      </c>
      <c r="V19" s="248"/>
      <c r="W19" s="818"/>
      <c r="X19" s="323">
        <v>0</v>
      </c>
      <c r="Y19" s="248">
        <v>0</v>
      </c>
      <c r="Z19" s="248">
        <v>0</v>
      </c>
      <c r="AA19" s="248">
        <v>0</v>
      </c>
      <c r="AB19" s="248">
        <v>0</v>
      </c>
      <c r="AC19" s="248">
        <v>0</v>
      </c>
      <c r="AD19" s="818">
        <v>0</v>
      </c>
      <c r="AE19" s="931"/>
    </row>
    <row r="20" spans="1:31" ht="21.75" customHeight="1" thickBot="1">
      <c r="A20" s="395"/>
      <c r="B20" s="546" t="s">
        <v>49</v>
      </c>
      <c r="C20" s="1845" t="s">
        <v>288</v>
      </c>
      <c r="D20" s="1846"/>
      <c r="E20" s="323">
        <f>'3.sz.m Önk  bev.'!E20</f>
        <v>1410000</v>
      </c>
      <c r="F20" s="248">
        <f>'3.sz.m Önk  bev.'!F20</f>
        <v>1410000</v>
      </c>
      <c r="G20" s="248">
        <f>'3.sz.m Önk  bev.'!G20</f>
        <v>1410000</v>
      </c>
      <c r="H20" s="248">
        <f>'3.sz.m Önk  bev.'!H20</f>
        <v>3266667</v>
      </c>
      <c r="I20" s="248">
        <f>'3.sz.m Önk  bev.'!I20</f>
        <v>1845745</v>
      </c>
      <c r="J20" s="248">
        <f>'3.sz.m Önk  bev.'!J20</f>
        <v>0</v>
      </c>
      <c r="K20" s="323">
        <f>'3.sz.m Önk  bev.'!L20</f>
        <v>1410000</v>
      </c>
      <c r="L20" s="248">
        <f>'3.sz.m Önk  bev.'!M20</f>
        <v>1410000</v>
      </c>
      <c r="M20" s="248">
        <f>'3.sz.m Önk  bev.'!N20</f>
        <v>1410000</v>
      </c>
      <c r="N20" s="248">
        <f>'3.sz.m Önk  bev.'!O20</f>
        <v>3266667</v>
      </c>
      <c r="O20" s="248">
        <f>'3.sz.m Önk  bev.'!P20</f>
        <v>1845745</v>
      </c>
      <c r="P20" s="248">
        <f>'3.sz.m Önk  bev.'!Q20</f>
        <v>0</v>
      </c>
      <c r="Q20" s="1788">
        <f>SUM(O20/N20)</f>
        <v>0.5650239219363345</v>
      </c>
      <c r="R20" s="323">
        <v>0</v>
      </c>
      <c r="S20" s="248">
        <v>0</v>
      </c>
      <c r="T20" s="248">
        <v>0</v>
      </c>
      <c r="U20" s="248">
        <v>0</v>
      </c>
      <c r="V20" s="248"/>
      <c r="W20" s="818"/>
      <c r="X20" s="323">
        <v>0</v>
      </c>
      <c r="Y20" s="248">
        <v>0</v>
      </c>
      <c r="Z20" s="248">
        <v>0</v>
      </c>
      <c r="AA20" s="248">
        <v>0</v>
      </c>
      <c r="AB20" s="248">
        <v>0</v>
      </c>
      <c r="AC20" s="248">
        <v>0</v>
      </c>
      <c r="AD20" s="818">
        <v>0</v>
      </c>
      <c r="AE20" s="931"/>
    </row>
    <row r="21" spans="1:31" ht="21.75" customHeight="1" thickBot="1">
      <c r="A21" s="72" t="s">
        <v>289</v>
      </c>
      <c r="B21" s="1829" t="s">
        <v>290</v>
      </c>
      <c r="C21" s="1829"/>
      <c r="D21" s="1829"/>
      <c r="E21" s="321">
        <f>E22+E23+E25+E29+E30+E31+E32+E24</f>
        <v>74220992</v>
      </c>
      <c r="F21" s="321">
        <f>F22+F23+F25+F29+F30+F31+F32+F24</f>
        <v>62585349</v>
      </c>
      <c r="G21" s="321">
        <f>G22+G23+G25+G29+G30+G31+G32+G24</f>
        <v>58187345</v>
      </c>
      <c r="H21" s="321">
        <f>H22+H23+H25+H29+H33+H31+H32+H24</f>
        <v>50132483</v>
      </c>
      <c r="I21" s="1783">
        <f>I22+I23+I25+I29+I30+I31+I32+I24+I33</f>
        <v>49947842</v>
      </c>
      <c r="J21" s="1785">
        <f>SUM(I21/H21)</f>
        <v>0.9963169388597808</v>
      </c>
      <c r="K21" s="321">
        <f>K22+K23+K25+K29+K30+K31+K32+K24</f>
        <v>74030492</v>
      </c>
      <c r="L21" s="246">
        <f>L22+L23+L25+L29+L30+L31+L32+L24</f>
        <v>62394849</v>
      </c>
      <c r="M21" s="246">
        <f>M22+M23+M25+M29+M30+M31+M32+M24</f>
        <v>57996845</v>
      </c>
      <c r="N21" s="246">
        <f>N22+N23+N25+N29+N33+N31+N32+N24</f>
        <v>49941983</v>
      </c>
      <c r="O21" s="1783">
        <f>O22+O23+O25+O29+O30+O31+O32+O24+O33</f>
        <v>49856125</v>
      </c>
      <c r="P21" s="875">
        <f>+P22+P23+P24+P25+P29+P31+P32+P33</f>
        <v>0</v>
      </c>
      <c r="Q21" s="665">
        <f>SUM(O21/N21)</f>
        <v>0.9982808451959146</v>
      </c>
      <c r="R21" s="321">
        <f>R22+R23+R25+R29+R30+R31+R32</f>
        <v>190500</v>
      </c>
      <c r="S21" s="246">
        <f>S22+S23+S25+S29+S30+S31+S32</f>
        <v>190500</v>
      </c>
      <c r="T21" s="246">
        <f>T22+T23+T25+T29+T30+T31+T32</f>
        <v>190500</v>
      </c>
      <c r="U21" s="246">
        <f>U22+U23+U25+U29+U30+U31+U32</f>
        <v>190500</v>
      </c>
      <c r="V21" s="246">
        <f>V22+V23+V25+V29+V30+V31+V32</f>
        <v>91717</v>
      </c>
      <c r="W21" s="665">
        <f>SUM(U21/T21)</f>
        <v>1</v>
      </c>
      <c r="X21" s="321">
        <f aca="true" t="shared" si="6" ref="X21:AD21">X22+X23+X25+X29+X30+X31+X32</f>
        <v>0</v>
      </c>
      <c r="Y21" s="246">
        <f>Y22+Y23+Y25+Y29+Y30+Y31+Y32</f>
        <v>0</v>
      </c>
      <c r="Z21" s="246">
        <f>Z22+Z23+Z25+Z29+Z30+Z31+Z32</f>
        <v>0</v>
      </c>
      <c r="AA21" s="246">
        <f>AA22+AA23+AA25+AA29+AA30+AA31+AA32</f>
        <v>0</v>
      </c>
      <c r="AB21" s="246">
        <f t="shared" si="6"/>
        <v>0</v>
      </c>
      <c r="AC21" s="246">
        <f t="shared" si="6"/>
        <v>0</v>
      </c>
      <c r="AD21" s="664">
        <f t="shared" si="6"/>
        <v>0</v>
      </c>
      <c r="AE21" s="931"/>
    </row>
    <row r="22" spans="1:31" ht="21.75" customHeight="1">
      <c r="A22" s="70"/>
      <c r="B22" s="71" t="s">
        <v>38</v>
      </c>
      <c r="C22" s="1834" t="s">
        <v>291</v>
      </c>
      <c r="D22" s="1834"/>
      <c r="E22" s="247">
        <f>'3.sz.m Önk  bev.'!E22+'5.1 sz. m Köz Hiv'!D10+'5.2 sz. m ÁMK'!D10</f>
        <v>29255146</v>
      </c>
      <c r="F22" s="247">
        <f>'3.sz.m Önk  bev.'!F22+'5.1 sz. m Köz Hiv'!E10+'5.2 sz. m ÁMK'!E10</f>
        <v>29258146</v>
      </c>
      <c r="G22" s="247">
        <f>'3.sz.m Önk  bev.'!G22+'5.1 sz. m Köz Hiv'!F10+'5.2 sz. m ÁMK'!F10</f>
        <v>29258146</v>
      </c>
      <c r="H22" s="247">
        <f>'3.sz.m Önk  bev.'!H22+'5.1 sz. m Köz Hiv'!G10+'5.2 sz. m ÁMK'!G10</f>
        <v>31240091</v>
      </c>
      <c r="I22" s="247">
        <f>'3.sz.m Önk  bev.'!I22+'5.1 sz. m Köz Hiv'!H10+'5.2 sz. m ÁMK'!H10</f>
        <v>31183074</v>
      </c>
      <c r="J22" s="1786">
        <f>SUM(I22/H22)</f>
        <v>0.9981748772754855</v>
      </c>
      <c r="K22" s="322">
        <f aca="true" t="shared" si="7" ref="K22:N24">+E22-R22</f>
        <v>29064646</v>
      </c>
      <c r="L22" s="247">
        <f t="shared" si="7"/>
        <v>29067646</v>
      </c>
      <c r="M22" s="247">
        <f t="shared" si="7"/>
        <v>29067646</v>
      </c>
      <c r="N22" s="247">
        <f t="shared" si="7"/>
        <v>31049591</v>
      </c>
      <c r="O22" s="247">
        <f>SUM('3.sz.m Önk  bev.'!P22+'5.1 sz. m Köz Hiv'!Q10+'5.2 sz. m ÁMK'!Q10)</f>
        <v>31091357</v>
      </c>
      <c r="P22" s="247"/>
      <c r="Q22" s="1786">
        <f>SUM(O22/N22)</f>
        <v>1.0013451384915184</v>
      </c>
      <c r="R22" s="322">
        <f>+'3.sz.m Önk  bev.'!S22</f>
        <v>190500</v>
      </c>
      <c r="S22" s="247">
        <f>+'3.sz.m Önk  bev.'!T22</f>
        <v>190500</v>
      </c>
      <c r="T22" s="247">
        <f>+'3.sz.m Önk  bev.'!U22</f>
        <v>190500</v>
      </c>
      <c r="U22" s="247">
        <f>+'3.sz.m Önk  bev.'!V22</f>
        <v>190500</v>
      </c>
      <c r="V22" s="247">
        <f>SUM('3.sz.m Önk  bev.'!W22)</f>
        <v>91717</v>
      </c>
      <c r="W22" s="1788">
        <f>SUM(U22/T22)</f>
        <v>1</v>
      </c>
      <c r="X22" s="322">
        <v>0</v>
      </c>
      <c r="Y22" s="247">
        <v>0</v>
      </c>
      <c r="Z22" s="247">
        <v>0</v>
      </c>
      <c r="AA22" s="247">
        <v>0</v>
      </c>
      <c r="AB22" s="247">
        <v>0</v>
      </c>
      <c r="AC22" s="247">
        <v>0</v>
      </c>
      <c r="AD22" s="1160">
        <v>0</v>
      </c>
      <c r="AE22" s="931"/>
    </row>
    <row r="23" spans="1:31" ht="21.75" customHeight="1">
      <c r="A23" s="69"/>
      <c r="B23" s="65" t="s">
        <v>39</v>
      </c>
      <c r="C23" s="1821" t="s">
        <v>292</v>
      </c>
      <c r="D23" s="1821"/>
      <c r="E23" s="247">
        <f>'3.sz.m Önk  bev.'!E23+'5.2 sz. m ÁMK'!D11</f>
        <v>7315000</v>
      </c>
      <c r="F23" s="247">
        <f>'3.sz.m Önk  bev.'!F23+'5.2 sz. m ÁMK'!E11</f>
        <v>7315000</v>
      </c>
      <c r="G23" s="247">
        <f>'3.sz.m Önk  bev.'!G23+'5.2 sz. m ÁMK'!F11</f>
        <v>7315000</v>
      </c>
      <c r="H23" s="247">
        <f>'3.sz.m Önk  bev.'!H23+'5.2 sz. m ÁMK'!G11+'5.1 sz. m Köz Hiv'!G11</f>
        <v>4439824</v>
      </c>
      <c r="I23" s="247">
        <f>'3.sz.m Önk  bev.'!I23+'5.2 sz. m ÁMK'!H11+'5.1 sz. m Köz Hiv'!H11</f>
        <v>4439824</v>
      </c>
      <c r="J23" s="1788">
        <f aca="true" t="shared" si="8" ref="J23:J33">SUM(I23/H23)</f>
        <v>1</v>
      </c>
      <c r="K23" s="322">
        <f t="shared" si="7"/>
        <v>7315000</v>
      </c>
      <c r="L23" s="247">
        <f t="shared" si="7"/>
        <v>7315000</v>
      </c>
      <c r="M23" s="247">
        <f t="shared" si="7"/>
        <v>7315000</v>
      </c>
      <c r="N23" s="247">
        <f t="shared" si="7"/>
        <v>4439824</v>
      </c>
      <c r="O23" s="247">
        <f>SUM('3.sz.m Önk  bev.'!P23+'5.1 sz. m Köz Hiv'!Q11+'5.2 sz. m ÁMK'!Q11)</f>
        <v>4439824</v>
      </c>
      <c r="P23" s="247"/>
      <c r="Q23" s="1788">
        <f aca="true" t="shared" si="9" ref="Q23:Q33">SUM(O23/N23)</f>
        <v>1</v>
      </c>
      <c r="R23" s="324">
        <v>0</v>
      </c>
      <c r="S23" s="249">
        <v>0</v>
      </c>
      <c r="T23" s="249">
        <v>0</v>
      </c>
      <c r="U23" s="249">
        <v>0</v>
      </c>
      <c r="V23" s="249"/>
      <c r="W23" s="857"/>
      <c r="X23" s="324">
        <v>0</v>
      </c>
      <c r="Y23" s="249">
        <v>0</v>
      </c>
      <c r="Z23" s="249">
        <v>0</v>
      </c>
      <c r="AA23" s="249">
        <v>0</v>
      </c>
      <c r="AB23" s="249">
        <v>0</v>
      </c>
      <c r="AC23" s="249">
        <v>0</v>
      </c>
      <c r="AD23" s="857">
        <v>0</v>
      </c>
      <c r="AE23" s="931"/>
    </row>
    <row r="24" spans="1:31" ht="21.75" customHeight="1">
      <c r="A24" s="69"/>
      <c r="B24" s="65" t="s">
        <v>465</v>
      </c>
      <c r="C24" s="1821" t="s">
        <v>461</v>
      </c>
      <c r="D24" s="1824"/>
      <c r="E24" s="247">
        <f>'5.2 sz. m ÁMK'!D13</f>
        <v>6433487</v>
      </c>
      <c r="F24" s="247">
        <f>'5.2 sz. m ÁMK'!E13</f>
        <v>6433487</v>
      </c>
      <c r="G24" s="247">
        <f>'5.2 sz. m ÁMK'!F13</f>
        <v>6433487</v>
      </c>
      <c r="H24" s="247">
        <f>'5.2 sz. m ÁMK'!G13</f>
        <v>5135080</v>
      </c>
      <c r="I24" s="247">
        <f>'5.2 sz. m ÁMK'!H13</f>
        <v>5086575</v>
      </c>
      <c r="J24" s="1788">
        <f t="shared" si="8"/>
        <v>0.9905541880554928</v>
      </c>
      <c r="K24" s="322">
        <f t="shared" si="7"/>
        <v>6433487</v>
      </c>
      <c r="L24" s="247">
        <f t="shared" si="7"/>
        <v>6433487</v>
      </c>
      <c r="M24" s="247">
        <f t="shared" si="7"/>
        <v>6433487</v>
      </c>
      <c r="N24" s="247">
        <f t="shared" si="7"/>
        <v>5135080</v>
      </c>
      <c r="O24" s="247">
        <f>SUM('5.2 sz. m ÁMK'!Q13)</f>
        <v>5086575</v>
      </c>
      <c r="P24" s="247"/>
      <c r="Q24" s="1788">
        <f t="shared" si="9"/>
        <v>0.9905541880554928</v>
      </c>
      <c r="R24" s="324"/>
      <c r="S24" s="249"/>
      <c r="T24" s="249"/>
      <c r="U24" s="249"/>
      <c r="V24" s="249"/>
      <c r="W24" s="857"/>
      <c r="X24" s="324"/>
      <c r="Y24" s="249"/>
      <c r="Z24" s="249"/>
      <c r="AA24" s="249"/>
      <c r="AB24" s="249"/>
      <c r="AC24" s="249"/>
      <c r="AD24" s="857"/>
      <c r="AE24" s="931"/>
    </row>
    <row r="25" spans="1:31" ht="21.75" customHeight="1">
      <c r="A25" s="69"/>
      <c r="B25" s="65" t="s">
        <v>261</v>
      </c>
      <c r="C25" s="1821" t="s">
        <v>293</v>
      </c>
      <c r="D25" s="1821"/>
      <c r="E25" s="249">
        <f>SUM(E26:E28)</f>
        <v>1325401</v>
      </c>
      <c r="F25" s="249">
        <f>SUM(F26:F28)</f>
        <v>1325401</v>
      </c>
      <c r="G25" s="249">
        <f>SUM(G26:G28)</f>
        <v>1325401</v>
      </c>
      <c r="H25" s="249">
        <f>SUM(H26:H28)</f>
        <v>643286</v>
      </c>
      <c r="I25" s="249">
        <f>SUM(I26:I28)</f>
        <v>643286</v>
      </c>
      <c r="J25" s="1788">
        <f t="shared" si="8"/>
        <v>1</v>
      </c>
      <c r="K25" s="324">
        <f aca="true" t="shared" si="10" ref="K25:P25">SUM(K26:K28)</f>
        <v>1325401</v>
      </c>
      <c r="L25" s="249">
        <f t="shared" si="10"/>
        <v>1325401</v>
      </c>
      <c r="M25" s="249">
        <f t="shared" si="10"/>
        <v>1325401</v>
      </c>
      <c r="N25" s="249">
        <f t="shared" si="10"/>
        <v>643286</v>
      </c>
      <c r="O25" s="249">
        <f t="shared" si="10"/>
        <v>643286</v>
      </c>
      <c r="P25" s="249">
        <f t="shared" si="10"/>
        <v>0</v>
      </c>
      <c r="Q25" s="1788">
        <f t="shared" si="9"/>
        <v>1</v>
      </c>
      <c r="R25" s="324">
        <v>0</v>
      </c>
      <c r="S25" s="249">
        <v>0</v>
      </c>
      <c r="T25" s="249">
        <v>0</v>
      </c>
      <c r="U25" s="249">
        <v>0</v>
      </c>
      <c r="V25" s="249">
        <f>SUM(V26:V28)</f>
        <v>0</v>
      </c>
      <c r="W25" s="857">
        <f>SUM(W26:W28)</f>
        <v>0</v>
      </c>
      <c r="X25" s="324">
        <v>0</v>
      </c>
      <c r="Y25" s="249">
        <v>0</v>
      </c>
      <c r="Z25" s="249">
        <v>0</v>
      </c>
      <c r="AA25" s="249">
        <v>0</v>
      </c>
      <c r="AB25" s="249">
        <v>0</v>
      </c>
      <c r="AC25" s="249">
        <v>0</v>
      </c>
      <c r="AD25" s="857">
        <v>0</v>
      </c>
      <c r="AE25" s="931"/>
    </row>
    <row r="26" spans="1:31" ht="31.5" customHeight="1">
      <c r="A26" s="69"/>
      <c r="B26" s="65"/>
      <c r="C26" s="65" t="s">
        <v>466</v>
      </c>
      <c r="D26" s="285" t="s">
        <v>294</v>
      </c>
      <c r="E26" s="249">
        <f>'3.sz.m Önk  bev.'!E25+'5.2 sz. m ÁMK'!D12</f>
        <v>829648</v>
      </c>
      <c r="F26" s="249">
        <f>'3.sz.m Önk  bev.'!F25+'5.2 sz. m ÁMK'!E12</f>
        <v>829648</v>
      </c>
      <c r="G26" s="249">
        <f>'3.sz.m Önk  bev.'!G25+'5.2 sz. m ÁMK'!F12</f>
        <v>829648</v>
      </c>
      <c r="H26" s="249">
        <f>'3.sz.m Önk  bev.'!H25+'5.2 sz. m ÁMK'!G12</f>
        <v>252928</v>
      </c>
      <c r="I26" s="249">
        <f>'3.sz.m Önk  bev.'!I25+'5.2 sz. m ÁMK'!H12</f>
        <v>252928</v>
      </c>
      <c r="J26" s="1788">
        <f t="shared" si="8"/>
        <v>1</v>
      </c>
      <c r="K26" s="324">
        <f>'3.sz.m Önk  bev.'!L25</f>
        <v>829648</v>
      </c>
      <c r="L26" s="249">
        <f>'3.sz.m Önk  bev.'!M25</f>
        <v>829648</v>
      </c>
      <c r="M26" s="249">
        <f>'3.sz.m Önk  bev.'!N25</f>
        <v>829648</v>
      </c>
      <c r="N26" s="249">
        <f>'3.sz.m Önk  bev.'!O25</f>
        <v>252928</v>
      </c>
      <c r="O26" s="247">
        <f>SUM('3.sz.m Önk  bev.'!P25)</f>
        <v>252928</v>
      </c>
      <c r="P26" s="249">
        <f>'3.sz.m Önk  bev.'!Q25+'5.2 sz. m ÁMK'!Q12</f>
        <v>0</v>
      </c>
      <c r="Q26" s="1788">
        <f t="shared" si="9"/>
        <v>1</v>
      </c>
      <c r="R26" s="324">
        <v>0</v>
      </c>
      <c r="S26" s="249">
        <v>0</v>
      </c>
      <c r="T26" s="249">
        <v>0</v>
      </c>
      <c r="U26" s="249">
        <v>0</v>
      </c>
      <c r="V26" s="249">
        <f>'3.sz.m Önk  bev.'!W25</f>
        <v>0</v>
      </c>
      <c r="W26" s="857">
        <f>'3.sz.m Önk  bev.'!X25</f>
        <v>0</v>
      </c>
      <c r="X26" s="324">
        <v>0</v>
      </c>
      <c r="Y26" s="249">
        <v>0</v>
      </c>
      <c r="Z26" s="249">
        <v>0</v>
      </c>
      <c r="AA26" s="249">
        <v>0</v>
      </c>
      <c r="AB26" s="249">
        <v>0</v>
      </c>
      <c r="AC26" s="249">
        <v>0</v>
      </c>
      <c r="AD26" s="857">
        <v>0</v>
      </c>
      <c r="AE26" s="931"/>
    </row>
    <row r="27" spans="1:31" ht="41.25" customHeight="1">
      <c r="A27" s="69"/>
      <c r="B27" s="65"/>
      <c r="C27" s="65" t="s">
        <v>467</v>
      </c>
      <c r="D27" s="285" t="s">
        <v>295</v>
      </c>
      <c r="E27" s="249">
        <f>'3.sz.m Önk  bev.'!E26</f>
        <v>495753</v>
      </c>
      <c r="F27" s="249">
        <f>'3.sz.m Önk  bev.'!F26</f>
        <v>495753</v>
      </c>
      <c r="G27" s="249">
        <f>'3.sz.m Önk  bev.'!G26</f>
        <v>495753</v>
      </c>
      <c r="H27" s="249">
        <f>'3.sz.m Önk  bev.'!H26</f>
        <v>390358</v>
      </c>
      <c r="I27" s="249">
        <f>'3.sz.m Önk  bev.'!I26</f>
        <v>390358</v>
      </c>
      <c r="J27" s="1788">
        <f t="shared" si="8"/>
        <v>1</v>
      </c>
      <c r="K27" s="324">
        <f>'3.sz.m Önk  bev.'!L26</f>
        <v>495753</v>
      </c>
      <c r="L27" s="249">
        <f>'3.sz.m Önk  bev.'!M26</f>
        <v>495753</v>
      </c>
      <c r="M27" s="249">
        <f>'3.sz.m Önk  bev.'!N26</f>
        <v>495753</v>
      </c>
      <c r="N27" s="249">
        <f>'3.sz.m Önk  bev.'!O26</f>
        <v>390358</v>
      </c>
      <c r="O27" s="247">
        <f>SUM('3.sz.m Önk  bev.'!P26)</f>
        <v>390358</v>
      </c>
      <c r="P27" s="249">
        <f>'3.sz.m Önk  bev.'!Q26</f>
        <v>0</v>
      </c>
      <c r="Q27" s="1788">
        <f t="shared" si="9"/>
        <v>1</v>
      </c>
      <c r="R27" s="324">
        <v>0</v>
      </c>
      <c r="S27" s="249">
        <v>0</v>
      </c>
      <c r="T27" s="249">
        <v>0</v>
      </c>
      <c r="U27" s="249">
        <v>0</v>
      </c>
      <c r="V27" s="249"/>
      <c r="W27" s="857"/>
      <c r="X27" s="324">
        <v>0</v>
      </c>
      <c r="Y27" s="249">
        <v>0</v>
      </c>
      <c r="Z27" s="249">
        <v>0</v>
      </c>
      <c r="AA27" s="249">
        <v>0</v>
      </c>
      <c r="AB27" s="249">
        <v>0</v>
      </c>
      <c r="AC27" s="249">
        <v>0</v>
      </c>
      <c r="AD27" s="857">
        <v>0</v>
      </c>
      <c r="AE27" s="931"/>
    </row>
    <row r="28" spans="1:31" ht="21.75" customHeight="1">
      <c r="A28" s="69"/>
      <c r="B28" s="65"/>
      <c r="C28" s="65" t="s">
        <v>468</v>
      </c>
      <c r="D28" s="285" t="s">
        <v>478</v>
      </c>
      <c r="E28" s="249">
        <f>'3.sz.m Önk  bev.'!E27</f>
        <v>0</v>
      </c>
      <c r="F28" s="249">
        <f>'3.sz.m Önk  bev.'!F27</f>
        <v>0</v>
      </c>
      <c r="G28" s="249">
        <f>'3.sz.m Önk  bev.'!G27</f>
        <v>0</v>
      </c>
      <c r="H28" s="249">
        <f>'3.sz.m Önk  bev.'!H27</f>
        <v>0</v>
      </c>
      <c r="I28" s="249">
        <f>'3.sz.m Önk  bev.'!I27</f>
        <v>0</v>
      </c>
      <c r="J28" s="1788"/>
      <c r="K28" s="324">
        <f>'3.sz.m Önk  bev.'!L27</f>
        <v>0</v>
      </c>
      <c r="L28" s="249">
        <f>'3.sz.m Önk  bev.'!M27</f>
        <v>0</v>
      </c>
      <c r="M28" s="249">
        <f>'3.sz.m Önk  bev.'!N27</f>
        <v>0</v>
      </c>
      <c r="N28" s="249">
        <f>'3.sz.m Önk  bev.'!O27</f>
        <v>0</v>
      </c>
      <c r="O28" s="249">
        <f>'3.sz.m Önk  bev.'!P27</f>
        <v>0</v>
      </c>
      <c r="P28" s="249">
        <f>'3.sz.m Önk  bev.'!Q27</f>
        <v>0</v>
      </c>
      <c r="Q28" s="1788"/>
      <c r="R28" s="324">
        <v>0</v>
      </c>
      <c r="S28" s="249">
        <v>0</v>
      </c>
      <c r="T28" s="249">
        <v>0</v>
      </c>
      <c r="U28" s="249">
        <v>0</v>
      </c>
      <c r="V28" s="249"/>
      <c r="W28" s="857"/>
      <c r="X28" s="324">
        <v>0</v>
      </c>
      <c r="Y28" s="249">
        <v>0</v>
      </c>
      <c r="Z28" s="249">
        <v>0</v>
      </c>
      <c r="AA28" s="249">
        <v>0</v>
      </c>
      <c r="AB28" s="249">
        <v>0</v>
      </c>
      <c r="AC28" s="249">
        <v>0</v>
      </c>
      <c r="AD28" s="857">
        <v>0</v>
      </c>
      <c r="AE28" s="931"/>
    </row>
    <row r="29" spans="1:31" ht="21.75" customHeight="1">
      <c r="A29" s="69"/>
      <c r="B29" s="65" t="s">
        <v>297</v>
      </c>
      <c r="C29" s="1821" t="s">
        <v>296</v>
      </c>
      <c r="D29" s="1821"/>
      <c r="E29" s="249">
        <f>'3.sz.m Önk  bev.'!E28+'5.2 sz. m ÁMK'!D14</f>
        <v>7601037</v>
      </c>
      <c r="F29" s="249">
        <f>'3.sz.m Önk  bev.'!F28+'5.2 sz. m ÁMK'!E14</f>
        <v>7601037</v>
      </c>
      <c r="G29" s="249">
        <f>'3.sz.m Önk  bev.'!G28+'5.2 sz. m ÁMK'!F14</f>
        <v>7601037</v>
      </c>
      <c r="H29" s="249">
        <f>'3.sz.m Önk  bev.'!H28+'5.2 sz. m ÁMK'!G14</f>
        <v>7245182</v>
      </c>
      <c r="I29" s="249">
        <f>'3.sz.m Önk  bev.'!I28+'5.2 sz. m ÁMK'!H14</f>
        <v>7225304</v>
      </c>
      <c r="J29" s="1788">
        <f t="shared" si="8"/>
        <v>0.9972563836215571</v>
      </c>
      <c r="K29" s="322">
        <f>+E29-R29</f>
        <v>7601037</v>
      </c>
      <c r="L29" s="247">
        <f>+F29-S29</f>
        <v>7601037</v>
      </c>
      <c r="M29" s="247">
        <f>+G29-T29</f>
        <v>7601037</v>
      </c>
      <c r="N29" s="247">
        <f>+H29-U29</f>
        <v>7245182</v>
      </c>
      <c r="O29" s="247">
        <f>SUM('3.sz.m Önk  bev.'!P28+'5.2 sz. m ÁMK'!Q14)</f>
        <v>7225304</v>
      </c>
      <c r="P29" s="249"/>
      <c r="Q29" s="1788">
        <f t="shared" si="9"/>
        <v>0.9972563836215571</v>
      </c>
      <c r="R29" s="324">
        <v>0</v>
      </c>
      <c r="S29" s="249">
        <v>0</v>
      </c>
      <c r="T29" s="249">
        <v>0</v>
      </c>
      <c r="U29" s="249">
        <v>0</v>
      </c>
      <c r="V29" s="249"/>
      <c r="W29" s="857">
        <f>+'3.sz.m Önk  bev.'!X28</f>
        <v>0</v>
      </c>
      <c r="X29" s="324">
        <v>0</v>
      </c>
      <c r="Y29" s="249">
        <v>0</v>
      </c>
      <c r="Z29" s="249">
        <v>0</v>
      </c>
      <c r="AA29" s="249">
        <v>0</v>
      </c>
      <c r="AB29" s="249">
        <v>0</v>
      </c>
      <c r="AC29" s="249">
        <v>0</v>
      </c>
      <c r="AD29" s="857">
        <v>0</v>
      </c>
      <c r="AE29" s="931"/>
    </row>
    <row r="30" spans="1:31" ht="21.75" customHeight="1" hidden="1">
      <c r="A30" s="73"/>
      <c r="B30" s="74" t="s">
        <v>299</v>
      </c>
      <c r="C30" s="1821" t="s">
        <v>298</v>
      </c>
      <c r="D30" s="1824"/>
      <c r="E30" s="249">
        <f>'3.sz.m Önk  bev.'!E29</f>
        <v>0</v>
      </c>
      <c r="F30" s="249">
        <f>'3.sz.m Önk  bev.'!F29</f>
        <v>229308</v>
      </c>
      <c r="G30" s="249">
        <f>'3.sz.m Önk  bev.'!G29</f>
        <v>229308</v>
      </c>
      <c r="I30" s="249"/>
      <c r="J30" s="1788" t="e">
        <f t="shared" si="8"/>
        <v>#DIV/0!</v>
      </c>
      <c r="K30" s="324">
        <f>'3.sz.m Önk  bev.'!L29</f>
        <v>0</v>
      </c>
      <c r="L30" s="249">
        <f>'3.sz.m Önk  bev.'!M29</f>
        <v>229308</v>
      </c>
      <c r="M30" s="249">
        <f>'3.sz.m Önk  bev.'!N29</f>
        <v>229308</v>
      </c>
      <c r="O30" s="247"/>
      <c r="P30" s="249">
        <f>'3.sz.m Önk  bev.'!P29</f>
        <v>229308</v>
      </c>
      <c r="Q30" s="1788" t="e">
        <f t="shared" si="9"/>
        <v>#DIV/0!</v>
      </c>
      <c r="R30" s="324">
        <v>0</v>
      </c>
      <c r="S30" s="249">
        <v>0</v>
      </c>
      <c r="T30" s="249">
        <v>0</v>
      </c>
      <c r="U30" s="249">
        <v>0</v>
      </c>
      <c r="V30" s="249"/>
      <c r="W30" s="857"/>
      <c r="X30" s="324">
        <v>0</v>
      </c>
      <c r="Y30" s="249">
        <v>0</v>
      </c>
      <c r="Z30" s="249">
        <v>0</v>
      </c>
      <c r="AA30" s="249">
        <v>0</v>
      </c>
      <c r="AB30" s="249">
        <v>0</v>
      </c>
      <c r="AC30" s="249">
        <v>0</v>
      </c>
      <c r="AD30" s="857">
        <v>0</v>
      </c>
      <c r="AE30" s="931"/>
    </row>
    <row r="31" spans="1:31" ht="21.75" customHeight="1">
      <c r="A31" s="73"/>
      <c r="B31" s="74" t="s">
        <v>299</v>
      </c>
      <c r="C31" s="1821" t="s">
        <v>300</v>
      </c>
      <c r="D31" s="1824"/>
      <c r="E31" s="249">
        <f>'3.sz.m Önk  bev.'!E30+'5.1 sz. m Köz Hiv'!D12+'5.2 sz. m ÁMK'!D15</f>
        <v>100100</v>
      </c>
      <c r="F31" s="249">
        <f>'3.sz.m Önk  bev.'!F30+'5.1 sz. m Köz Hiv'!E12+'5.2 sz. m ÁMK'!E15</f>
        <v>100200</v>
      </c>
      <c r="G31" s="249">
        <f>'3.sz.m Önk  bev.'!G30+'5.1 sz. m Köz Hiv'!F12+'5.2 sz. m ÁMK'!F15</f>
        <v>100200</v>
      </c>
      <c r="H31" s="249">
        <f>'3.sz.m Önk  bev.'!H30+'5.1 sz. m Köz Hiv'!G12+'5.2 sz. m ÁMK'!G15</f>
        <v>100200</v>
      </c>
      <c r="I31" s="249">
        <f>'3.sz.m Önk  bev.'!I30+'5.1 sz. m Köz Hiv'!H12+'5.2 sz. m ÁMK'!H15</f>
        <v>41006</v>
      </c>
      <c r="J31" s="1788">
        <f t="shared" si="8"/>
        <v>0.40924151696606786</v>
      </c>
      <c r="K31" s="322">
        <f aca="true" t="shared" si="11" ref="K31:N32">+E31-R31</f>
        <v>100100</v>
      </c>
      <c r="L31" s="247">
        <f t="shared" si="11"/>
        <v>100200</v>
      </c>
      <c r="M31" s="247">
        <f t="shared" si="11"/>
        <v>100200</v>
      </c>
      <c r="N31" s="247">
        <f t="shared" si="11"/>
        <v>100200</v>
      </c>
      <c r="O31" s="247">
        <f>SUM('3.sz.m Önk  bev.'!P30+'5.1 sz. m Köz Hiv'!Q12+'5.2 sz. m ÁMK'!Q15)</f>
        <v>41006</v>
      </c>
      <c r="P31" s="249"/>
      <c r="Q31" s="1788">
        <f t="shared" si="9"/>
        <v>0.40924151696606786</v>
      </c>
      <c r="R31" s="324">
        <v>0</v>
      </c>
      <c r="S31" s="249">
        <v>0</v>
      </c>
      <c r="T31" s="249">
        <v>0</v>
      </c>
      <c r="U31" s="249">
        <v>0</v>
      </c>
      <c r="V31" s="249"/>
      <c r="W31" s="857"/>
      <c r="X31" s="324">
        <v>0</v>
      </c>
      <c r="Y31" s="249">
        <v>0</v>
      </c>
      <c r="Z31" s="249">
        <v>0</v>
      </c>
      <c r="AA31" s="249">
        <v>0</v>
      </c>
      <c r="AB31" s="249">
        <v>0</v>
      </c>
      <c r="AC31" s="249">
        <v>0</v>
      </c>
      <c r="AD31" s="857">
        <v>0</v>
      </c>
      <c r="AE31" s="931"/>
    </row>
    <row r="32" spans="1:31" ht="21.75" customHeight="1">
      <c r="A32" s="73"/>
      <c r="B32" s="74" t="s">
        <v>469</v>
      </c>
      <c r="C32" s="1835" t="s">
        <v>69</v>
      </c>
      <c r="D32" s="1835"/>
      <c r="E32" s="249">
        <f>'3.sz.m Önk  bev.'!E31+'5.1 sz. m Köz Hiv'!D13+'5.2 sz. m ÁMK'!D16</f>
        <v>22190821</v>
      </c>
      <c r="F32" s="249">
        <f>'3.sz.m Önk  bev.'!F31+'5.1 sz. m Köz Hiv'!E13+'5.2 sz. m ÁMK'!E16</f>
        <v>10322770</v>
      </c>
      <c r="G32" s="249">
        <f>'3.sz.m Önk  bev.'!G31+'5.1 sz. m Köz Hiv'!F13+'5.2 sz. m ÁMK'!F16</f>
        <v>5924766</v>
      </c>
      <c r="H32" s="249">
        <f>'3.sz.m Önk  bev.'!H31+'5.1 sz. m Köz Hiv'!G13+'5.2 sz. m ÁMK'!G16</f>
        <v>1099512</v>
      </c>
      <c r="I32" s="249">
        <f>'3.sz.m Önk  bev.'!I31+'5.1 sz. m Köz Hiv'!H13+'5.2 sz. m ÁMK'!H16</f>
        <v>1099465</v>
      </c>
      <c r="J32" s="1788">
        <f t="shared" si="8"/>
        <v>0.9999572537634878</v>
      </c>
      <c r="K32" s="322">
        <f t="shared" si="11"/>
        <v>22190821</v>
      </c>
      <c r="L32" s="247">
        <f t="shared" si="11"/>
        <v>10322770</v>
      </c>
      <c r="M32" s="247">
        <f t="shared" si="11"/>
        <v>5924766</v>
      </c>
      <c r="N32" s="247">
        <f t="shared" si="11"/>
        <v>1099512</v>
      </c>
      <c r="O32" s="247">
        <f>SUM('3.sz.m Önk  bev.'!P31+'5.1 sz. m Köz Hiv'!Q13+'5.2 sz. m ÁMK'!Q16)</f>
        <v>1099465</v>
      </c>
      <c r="P32" s="249">
        <f>'3.sz.m Önk  bev.'!Q31</f>
        <v>0</v>
      </c>
      <c r="Q32" s="1788">
        <f t="shared" si="9"/>
        <v>0.9999572537634878</v>
      </c>
      <c r="R32" s="324">
        <v>0</v>
      </c>
      <c r="S32" s="249">
        <v>0</v>
      </c>
      <c r="T32" s="249">
        <v>0</v>
      </c>
      <c r="U32" s="249">
        <v>0</v>
      </c>
      <c r="V32" s="249"/>
      <c r="W32" s="857"/>
      <c r="X32" s="324">
        <v>0</v>
      </c>
      <c r="Y32" s="249">
        <v>0</v>
      </c>
      <c r="Z32" s="249">
        <v>0</v>
      </c>
      <c r="AA32" s="249">
        <v>0</v>
      </c>
      <c r="AB32" s="249">
        <v>0</v>
      </c>
      <c r="AC32" s="249">
        <v>0</v>
      </c>
      <c r="AD32" s="857">
        <v>0</v>
      </c>
      <c r="AE32" s="931"/>
    </row>
    <row r="33" spans="1:31" ht="21.75" customHeight="1" thickBot="1">
      <c r="A33" s="73"/>
      <c r="B33" s="74" t="s">
        <v>505</v>
      </c>
      <c r="C33" s="1821" t="s">
        <v>504</v>
      </c>
      <c r="D33" s="1824"/>
      <c r="E33" s="249"/>
      <c r="F33" s="249"/>
      <c r="G33" s="249"/>
      <c r="H33" s="249">
        <f>'3.sz.m Önk  bev.'!H29</f>
        <v>229308</v>
      </c>
      <c r="I33" s="249">
        <f>'3.sz.m Önk  bev.'!I29</f>
        <v>229308</v>
      </c>
      <c r="J33" s="1788">
        <f t="shared" si="8"/>
        <v>1</v>
      </c>
      <c r="K33" s="324"/>
      <c r="L33" s="249"/>
      <c r="M33" s="249"/>
      <c r="N33" s="249">
        <f>'3.sz.m Önk  bev.'!O29</f>
        <v>229308</v>
      </c>
      <c r="O33" s="247">
        <f>SUM('3.sz.m Önk  bev.'!P29)</f>
        <v>229308</v>
      </c>
      <c r="P33" s="249">
        <f>+'3.sz.m Önk  bev.'!Q29</f>
        <v>0</v>
      </c>
      <c r="Q33" s="1788">
        <f t="shared" si="9"/>
        <v>1</v>
      </c>
      <c r="R33" s="324"/>
      <c r="S33" s="249"/>
      <c r="T33" s="249"/>
      <c r="U33" s="249"/>
      <c r="V33" s="249"/>
      <c r="W33" s="857"/>
      <c r="X33" s="324"/>
      <c r="Y33" s="249"/>
      <c r="Z33" s="249"/>
      <c r="AA33" s="249"/>
      <c r="AB33" s="249"/>
      <c r="AC33" s="249"/>
      <c r="AD33" s="857"/>
      <c r="AE33" s="931"/>
    </row>
    <row r="34" spans="1:31" ht="42.75" customHeight="1" thickBot="1">
      <c r="A34" s="76" t="s">
        <v>9</v>
      </c>
      <c r="B34" s="1829" t="s">
        <v>301</v>
      </c>
      <c r="C34" s="1829"/>
      <c r="D34" s="1829"/>
      <c r="E34" s="316">
        <f aca="true" t="shared" si="12" ref="E34:P34">SUM(E35:E39)</f>
        <v>326093376</v>
      </c>
      <c r="F34" s="79">
        <f t="shared" si="12"/>
        <v>337958427</v>
      </c>
      <c r="G34" s="79">
        <f t="shared" si="12"/>
        <v>356929703</v>
      </c>
      <c r="H34" s="79">
        <f>SUM(H35:H39)</f>
        <v>363160225</v>
      </c>
      <c r="I34" s="79">
        <f t="shared" si="12"/>
        <v>361288225</v>
      </c>
      <c r="J34" s="1785">
        <f>SUM(I34/H34)</f>
        <v>0.9948452504676139</v>
      </c>
      <c r="K34" s="316">
        <f t="shared" si="12"/>
        <v>321280777</v>
      </c>
      <c r="L34" s="79">
        <f>SUM(L35:L39)</f>
        <v>333145828</v>
      </c>
      <c r="M34" s="79">
        <f>SUM(M35:M39)</f>
        <v>352117104</v>
      </c>
      <c r="N34" s="79">
        <f>SUM(N35:N39)</f>
        <v>358347625</v>
      </c>
      <c r="O34" s="79">
        <f t="shared" si="12"/>
        <v>356475625</v>
      </c>
      <c r="P34" s="79">
        <f t="shared" si="12"/>
        <v>0</v>
      </c>
      <c r="Q34" s="665">
        <f>SUM(O34/N34)</f>
        <v>0.9947760223051569</v>
      </c>
      <c r="R34" s="316">
        <f>SUM(R35:R39)</f>
        <v>4812599</v>
      </c>
      <c r="S34" s="79">
        <f>SUM(S35:S39)</f>
        <v>4812599</v>
      </c>
      <c r="T34" s="79">
        <f>SUM(T35:T39)</f>
        <v>4812599</v>
      </c>
      <c r="U34" s="79">
        <f>SUM(U35:U39)</f>
        <v>4812600</v>
      </c>
      <c r="V34" s="79">
        <f>SUM(V35:V39)</f>
        <v>4812600</v>
      </c>
      <c r="W34" s="665">
        <f>SUM(U34/T34)</f>
        <v>1.0000002077879333</v>
      </c>
      <c r="X34" s="316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38">
        <v>0</v>
      </c>
      <c r="AE34" s="931"/>
    </row>
    <row r="35" spans="1:31" ht="21.75" customHeight="1">
      <c r="A35" s="70"/>
      <c r="B35" s="74" t="s">
        <v>41</v>
      </c>
      <c r="C35" s="1822" t="s">
        <v>302</v>
      </c>
      <c r="D35" s="1823"/>
      <c r="E35" s="324">
        <f>'3.sz.m Önk  bev.'!E33</f>
        <v>294726379</v>
      </c>
      <c r="F35" s="249">
        <f>'3.sz.m Önk  bev.'!F33</f>
        <v>306591430</v>
      </c>
      <c r="G35" s="249">
        <f>'3.sz.m Önk  bev.'!G33</f>
        <v>323765090</v>
      </c>
      <c r="H35" s="1784">
        <f>'3.sz.m Önk  bev.'!H33</f>
        <v>328365110</v>
      </c>
      <c r="I35" s="249">
        <f>'3.sz.m Önk  bev.'!I33</f>
        <v>328365110</v>
      </c>
      <c r="J35" s="1786">
        <f>SUM(I35/H35)</f>
        <v>1</v>
      </c>
      <c r="K35" s="324">
        <f>'3.sz.m Önk  bev.'!L33</f>
        <v>294726379</v>
      </c>
      <c r="L35" s="249">
        <f>'3.sz.m Önk  bev.'!M33</f>
        <v>306591430</v>
      </c>
      <c r="M35" s="249">
        <f>'3.sz.m Önk  bev.'!N33</f>
        <v>323765090</v>
      </c>
      <c r="N35" s="249">
        <f>'3.sz.m Önk  bev.'!O33</f>
        <v>328365110</v>
      </c>
      <c r="O35" s="249">
        <f>'3.sz.m Önk  bev.'!P33</f>
        <v>328365110</v>
      </c>
      <c r="P35" s="249">
        <f>'3.sz.m Önk  bev.'!Q33</f>
        <v>0</v>
      </c>
      <c r="Q35" s="1786">
        <f>SUM(O35/N35)</f>
        <v>1</v>
      </c>
      <c r="R35" s="323">
        <f>'3.sz.m Önk  bev.'!S35</f>
        <v>0</v>
      </c>
      <c r="S35" s="248">
        <f>'3.sz.m Önk  bev.'!T35</f>
        <v>0</v>
      </c>
      <c r="T35" s="248">
        <f>'3.sz.m Önk  bev.'!U35</f>
        <v>0</v>
      </c>
      <c r="U35" s="248">
        <f>'3.sz.m Önk  bev.'!V35</f>
        <v>0</v>
      </c>
      <c r="V35" s="249"/>
      <c r="W35" s="857"/>
      <c r="X35" s="324">
        <v>0</v>
      </c>
      <c r="Y35" s="249">
        <v>0</v>
      </c>
      <c r="Z35" s="249">
        <v>0</v>
      </c>
      <c r="AA35" s="249">
        <v>0</v>
      </c>
      <c r="AB35" s="249">
        <v>0</v>
      </c>
      <c r="AC35" s="249">
        <v>0</v>
      </c>
      <c r="AD35" s="857">
        <v>0</v>
      </c>
      <c r="AE35" s="931"/>
    </row>
    <row r="36" spans="1:31" ht="21.75" customHeight="1">
      <c r="A36" s="69"/>
      <c r="B36" s="74" t="s">
        <v>42</v>
      </c>
      <c r="C36" s="1821" t="s">
        <v>473</v>
      </c>
      <c r="D36" s="1824"/>
      <c r="E36" s="324">
        <f>'3.sz.m Önk  bev.'!E34</f>
        <v>0</v>
      </c>
      <c r="F36" s="249">
        <f>'3.sz.m Önk  bev.'!F34</f>
        <v>0</v>
      </c>
      <c r="G36" s="249">
        <f>'3.sz.m Önk  bev.'!G34</f>
        <v>0</v>
      </c>
      <c r="H36" s="1784">
        <f>'3.sz.m Önk  bev.'!H34</f>
        <v>1714500</v>
      </c>
      <c r="I36" s="249">
        <f>'3.sz.m Önk  bev.'!I34</f>
        <v>1714500</v>
      </c>
      <c r="J36" s="1788">
        <f aca="true" t="shared" si="13" ref="J36:J42">SUM(I36/H36)</f>
        <v>1</v>
      </c>
      <c r="K36" s="324">
        <f>'3.sz.m Önk  bev.'!L34</f>
        <v>0</v>
      </c>
      <c r="L36" s="249">
        <f>'3.sz.m Önk  bev.'!M34</f>
        <v>0</v>
      </c>
      <c r="M36" s="249">
        <f>'3.sz.m Önk  bev.'!N34</f>
        <v>0</v>
      </c>
      <c r="N36" s="249">
        <f>'3.sz.m Önk  bev.'!O34</f>
        <v>1714500</v>
      </c>
      <c r="O36" s="249">
        <f>'3.sz.m Önk  bev.'!P34</f>
        <v>1714500</v>
      </c>
      <c r="P36" s="249">
        <f>'3.sz.m Önk  bev.'!Q34</f>
        <v>0</v>
      </c>
      <c r="Q36" s="1788">
        <f aca="true" t="shared" si="14" ref="Q36:Q42">SUM(O36/N36)</f>
        <v>1</v>
      </c>
      <c r="R36" s="324">
        <v>0</v>
      </c>
      <c r="S36" s="249">
        <v>0</v>
      </c>
      <c r="T36" s="249">
        <v>0</v>
      </c>
      <c r="U36" s="249">
        <v>0</v>
      </c>
      <c r="V36" s="249"/>
      <c r="W36" s="857"/>
      <c r="X36" s="324">
        <v>0</v>
      </c>
      <c r="Y36" s="249">
        <v>0</v>
      </c>
      <c r="Z36" s="249">
        <v>0</v>
      </c>
      <c r="AA36" s="249">
        <v>0</v>
      </c>
      <c r="AB36" s="249">
        <v>0</v>
      </c>
      <c r="AC36" s="249">
        <v>0</v>
      </c>
      <c r="AD36" s="857">
        <v>0</v>
      </c>
      <c r="AE36" s="931"/>
    </row>
    <row r="37" spans="1:31" ht="21.75" customHeight="1">
      <c r="A37" s="69"/>
      <c r="B37" s="74" t="s">
        <v>66</v>
      </c>
      <c r="C37" s="1821" t="s">
        <v>565</v>
      </c>
      <c r="D37" s="1821"/>
      <c r="E37" s="324">
        <f>'3.sz.m Önk  bev.'!E35</f>
        <v>0</v>
      </c>
      <c r="F37" s="249">
        <f>'3.sz.m Önk  bev.'!F35</f>
        <v>0</v>
      </c>
      <c r="G37" s="249">
        <f>'3.sz.m Önk  bev.'!G35</f>
        <v>622616</v>
      </c>
      <c r="H37" s="1784">
        <f>'3.sz.m Önk  bev.'!H35</f>
        <v>622616</v>
      </c>
      <c r="I37" s="249">
        <f>'3.sz.m Önk  bev.'!I35</f>
        <v>622616</v>
      </c>
      <c r="J37" s="1788">
        <f t="shared" si="13"/>
        <v>1</v>
      </c>
      <c r="K37" s="324">
        <f>'3.sz.m Önk  bev.'!L35</f>
        <v>0</v>
      </c>
      <c r="L37" s="249">
        <f>'3.sz.m Önk  bev.'!M35</f>
        <v>0</v>
      </c>
      <c r="M37" s="249">
        <f>'3.sz.m Önk  bev.'!N35</f>
        <v>622616</v>
      </c>
      <c r="N37" s="249">
        <f>'3.sz.m Önk  bev.'!O35</f>
        <v>622616</v>
      </c>
      <c r="O37" s="249">
        <f>'3.sz.m Önk  bev.'!P35</f>
        <v>622616</v>
      </c>
      <c r="P37" s="249">
        <f>'3.sz.m Önk  bev.'!Q35</f>
        <v>0</v>
      </c>
      <c r="Q37" s="1788">
        <f t="shared" si="14"/>
        <v>1</v>
      </c>
      <c r="R37" s="324">
        <v>0</v>
      </c>
      <c r="S37" s="249">
        <v>0</v>
      </c>
      <c r="T37" s="249">
        <v>0</v>
      </c>
      <c r="U37" s="249">
        <v>0</v>
      </c>
      <c r="V37" s="249"/>
      <c r="W37" s="857"/>
      <c r="X37" s="324">
        <v>0</v>
      </c>
      <c r="Y37" s="249">
        <v>0</v>
      </c>
      <c r="Z37" s="249">
        <v>0</v>
      </c>
      <c r="AA37" s="249">
        <v>0</v>
      </c>
      <c r="AB37" s="249">
        <v>0</v>
      </c>
      <c r="AC37" s="249">
        <v>0</v>
      </c>
      <c r="AD37" s="857">
        <v>0</v>
      </c>
      <c r="AE37" s="931"/>
    </row>
    <row r="38" spans="1:31" ht="21.75" customHeight="1">
      <c r="A38" s="69"/>
      <c r="B38" s="74" t="s">
        <v>67</v>
      </c>
      <c r="C38" s="1821" t="s">
        <v>342</v>
      </c>
      <c r="D38" s="1824"/>
      <c r="E38" s="324"/>
      <c r="F38" s="249"/>
      <c r="G38" s="249"/>
      <c r="H38" s="249"/>
      <c r="I38" s="249">
        <f>'3.sz.m Önk  bev.'!I36</f>
        <v>0</v>
      </c>
      <c r="J38" s="1788"/>
      <c r="K38" s="324"/>
      <c r="L38" s="249"/>
      <c r="M38" s="249"/>
      <c r="N38" s="249"/>
      <c r="O38" s="249"/>
      <c r="P38" s="249"/>
      <c r="Q38" s="1788"/>
      <c r="R38" s="324">
        <v>0</v>
      </c>
      <c r="S38" s="249">
        <v>0</v>
      </c>
      <c r="T38" s="249">
        <v>0</v>
      </c>
      <c r="U38" s="249">
        <v>0</v>
      </c>
      <c r="V38" s="249"/>
      <c r="W38" s="857"/>
      <c r="X38" s="324">
        <v>0</v>
      </c>
      <c r="Y38" s="249">
        <v>0</v>
      </c>
      <c r="Z38" s="249">
        <v>0</v>
      </c>
      <c r="AA38" s="249">
        <v>0</v>
      </c>
      <c r="AB38" s="249">
        <v>0</v>
      </c>
      <c r="AC38" s="249">
        <v>0</v>
      </c>
      <c r="AD38" s="857">
        <v>0</v>
      </c>
      <c r="AE38" s="931"/>
    </row>
    <row r="39" spans="1:31" ht="45.75" customHeight="1">
      <c r="A39" s="69"/>
      <c r="B39" s="74" t="s">
        <v>338</v>
      </c>
      <c r="C39" s="1821" t="s">
        <v>303</v>
      </c>
      <c r="D39" s="1824"/>
      <c r="E39" s="324">
        <f aca="true" t="shared" si="15" ref="E39:P39">SUM(E40:E42)</f>
        <v>31366997</v>
      </c>
      <c r="F39" s="249">
        <f t="shared" si="15"/>
        <v>31366997</v>
      </c>
      <c r="G39" s="249">
        <f t="shared" si="15"/>
        <v>32541997</v>
      </c>
      <c r="H39" s="249">
        <f>SUM(H40:H42)</f>
        <v>32457999</v>
      </c>
      <c r="I39" s="249">
        <f t="shared" si="15"/>
        <v>30585999</v>
      </c>
      <c r="J39" s="1788">
        <f t="shared" si="13"/>
        <v>0.9423254649801425</v>
      </c>
      <c r="K39" s="324">
        <f t="shared" si="15"/>
        <v>26554398</v>
      </c>
      <c r="L39" s="249">
        <f>SUM(L40:L42)</f>
        <v>26554398</v>
      </c>
      <c r="M39" s="249">
        <f>SUM(M40:M42)</f>
        <v>27729398</v>
      </c>
      <c r="N39" s="249">
        <f>SUM(N40:N42)</f>
        <v>27645399</v>
      </c>
      <c r="O39" s="249">
        <f t="shared" si="15"/>
        <v>25773399</v>
      </c>
      <c r="P39" s="249">
        <f t="shared" si="15"/>
        <v>0</v>
      </c>
      <c r="Q39" s="1788">
        <f t="shared" si="14"/>
        <v>0.9322852963706547</v>
      </c>
      <c r="R39" s="324">
        <f>SUM(R40:R42)</f>
        <v>4812599</v>
      </c>
      <c r="S39" s="249">
        <f>SUM(S40:S42)</f>
        <v>4812599</v>
      </c>
      <c r="T39" s="249">
        <f>SUM(T40:T42)</f>
        <v>4812599</v>
      </c>
      <c r="U39" s="249">
        <f>SUM(U40:U42)</f>
        <v>4812600</v>
      </c>
      <c r="V39" s="249">
        <f>SUM(V40:V42)</f>
        <v>4812600</v>
      </c>
      <c r="W39" s="1788">
        <f>SUM(U39/T39)</f>
        <v>1.0000002077879333</v>
      </c>
      <c r="X39" s="324">
        <v>0</v>
      </c>
      <c r="Y39" s="249">
        <v>0</v>
      </c>
      <c r="Z39" s="249">
        <v>0</v>
      </c>
      <c r="AA39" s="249">
        <v>0</v>
      </c>
      <c r="AB39" s="249">
        <v>0</v>
      </c>
      <c r="AC39" s="249">
        <v>0</v>
      </c>
      <c r="AD39" s="857">
        <v>0</v>
      </c>
      <c r="AE39" s="931"/>
    </row>
    <row r="40" spans="1:31" ht="21.75" customHeight="1">
      <c r="A40" s="69"/>
      <c r="B40" s="74"/>
      <c r="C40" s="71" t="s">
        <v>339</v>
      </c>
      <c r="D40" s="547" t="s">
        <v>32</v>
      </c>
      <c r="E40" s="324">
        <f>'3.sz.m Önk  bev.'!E38</f>
        <v>12222000</v>
      </c>
      <c r="F40" s="249">
        <f>'3.sz.m Önk  bev.'!F38</f>
        <v>12222000</v>
      </c>
      <c r="G40" s="249">
        <f>'3.sz.m Önk  bev.'!G38</f>
        <v>13397000</v>
      </c>
      <c r="H40" s="249">
        <f>'3.sz.m Önk  bev.'!H38</f>
        <v>14713300</v>
      </c>
      <c r="I40" s="249">
        <f>'3.sz.m Önk  bev.'!I38</f>
        <v>14713300</v>
      </c>
      <c r="J40" s="1788">
        <f t="shared" si="13"/>
        <v>1</v>
      </c>
      <c r="K40" s="324">
        <f>'3.sz.m Önk  bev.'!L38</f>
        <v>12222000</v>
      </c>
      <c r="L40" s="249">
        <f>'3.sz.m Önk  bev.'!M38</f>
        <v>12222000</v>
      </c>
      <c r="M40" s="249">
        <f>'3.sz.m Önk  bev.'!N38</f>
        <v>13397000</v>
      </c>
      <c r="N40" s="249">
        <f>'3.sz.m Önk  bev.'!O38</f>
        <v>14713300</v>
      </c>
      <c r="O40" s="249">
        <f>'3.sz.m Önk  bev.'!P38</f>
        <v>14713300</v>
      </c>
      <c r="P40" s="249">
        <f>'3.sz.m Önk  bev.'!Q38</f>
        <v>0</v>
      </c>
      <c r="Q40" s="1788">
        <f t="shared" si="14"/>
        <v>1</v>
      </c>
      <c r="R40" s="324">
        <v>0</v>
      </c>
      <c r="S40" s="249">
        <v>0</v>
      </c>
      <c r="T40" s="249">
        <v>0</v>
      </c>
      <c r="U40" s="249">
        <v>0</v>
      </c>
      <c r="V40" s="249"/>
      <c r="W40" s="857"/>
      <c r="X40" s="324">
        <v>0</v>
      </c>
      <c r="Y40" s="249">
        <v>0</v>
      </c>
      <c r="Z40" s="249">
        <v>0</v>
      </c>
      <c r="AA40" s="249">
        <v>0</v>
      </c>
      <c r="AB40" s="249">
        <v>0</v>
      </c>
      <c r="AC40" s="249">
        <v>0</v>
      </c>
      <c r="AD40" s="857">
        <v>0</v>
      </c>
      <c r="AE40" s="931"/>
    </row>
    <row r="41" spans="1:31" ht="21.75" customHeight="1">
      <c r="A41" s="69"/>
      <c r="B41" s="74"/>
      <c r="C41" s="65" t="s">
        <v>340</v>
      </c>
      <c r="D41" s="285" t="s">
        <v>31</v>
      </c>
      <c r="E41" s="324">
        <f>'3.sz.m Önk  bev.'!E39+'5.2 sz. m ÁMK'!D20</f>
        <v>11010599</v>
      </c>
      <c r="F41" s="249">
        <f>'3.sz.m Önk  bev.'!F39+'5.2 sz. m ÁMK'!E20</f>
        <v>11010599</v>
      </c>
      <c r="G41" s="249">
        <f>'3.sz.m Önk  bev.'!G39+'5.2 sz. m ÁMK'!F20</f>
        <v>11010599</v>
      </c>
      <c r="H41" s="249">
        <f>'3.sz.m Önk  bev.'!H39+'5.2 sz. m ÁMK'!G20</f>
        <v>11010600</v>
      </c>
      <c r="I41" s="249">
        <f>'3.sz.m Önk  bev.'!I39+'5.2 sz. m ÁMK'!H20</f>
        <v>9138600</v>
      </c>
      <c r="J41" s="1788">
        <f t="shared" si="13"/>
        <v>0.8299820173287559</v>
      </c>
      <c r="K41" s="324">
        <f>'3.sz.m Önk  bev.'!L39+'5.2 sz. m ÁMK'!L20</f>
        <v>6198000</v>
      </c>
      <c r="L41" s="249">
        <f>'3.sz.m Önk  bev.'!M39+'5.2 sz. m ÁMK'!M20</f>
        <v>6198000</v>
      </c>
      <c r="M41" s="249">
        <f>'3.sz.m Önk  bev.'!N39+'5.2 sz. m ÁMK'!N20</f>
        <v>6198000</v>
      </c>
      <c r="N41" s="249">
        <f>'3.sz.m Önk  bev.'!O39+'5.2 sz. m ÁMK'!O20</f>
        <v>6198000</v>
      </c>
      <c r="O41" s="249">
        <f>'3.sz.m Önk  bev.'!P39+'5.2 sz. m ÁMK'!P20</f>
        <v>4326000</v>
      </c>
      <c r="P41" s="249">
        <f>'3.sz.m Önk  bev.'!Q39+'5.2 sz. m ÁMK'!Q20</f>
        <v>0</v>
      </c>
      <c r="Q41" s="1788">
        <f t="shared" si="14"/>
        <v>0.6979670861568248</v>
      </c>
      <c r="R41" s="323">
        <f>+'3.sz.m Önk  bev.'!S39</f>
        <v>4812599</v>
      </c>
      <c r="S41" s="248">
        <f>+'3.sz.m Önk  bev.'!T39</f>
        <v>4812599</v>
      </c>
      <c r="T41" s="248">
        <f>+'3.sz.m Önk  bev.'!U39</f>
        <v>4812599</v>
      </c>
      <c r="U41" s="248">
        <f>+'3.sz.m Önk  bev.'!V39</f>
        <v>4812600</v>
      </c>
      <c r="V41" s="249">
        <f>SUM('3.sz.m Önk  bev.'!W39)</f>
        <v>4812600</v>
      </c>
      <c r="W41" s="1788">
        <f>SUM(U41/T41)</f>
        <v>1.0000002077879333</v>
      </c>
      <c r="X41" s="324">
        <v>0</v>
      </c>
      <c r="Y41" s="249">
        <v>0</v>
      </c>
      <c r="Z41" s="249">
        <v>0</v>
      </c>
      <c r="AA41" s="249">
        <v>0</v>
      </c>
      <c r="AB41" s="249">
        <v>0</v>
      </c>
      <c r="AC41" s="249">
        <v>0</v>
      </c>
      <c r="AD41" s="857">
        <v>0</v>
      </c>
      <c r="AE41" s="931"/>
    </row>
    <row r="42" spans="1:31" ht="21.75" customHeight="1" thickBot="1">
      <c r="A42" s="69"/>
      <c r="B42" s="74"/>
      <c r="C42" s="65" t="s">
        <v>341</v>
      </c>
      <c r="D42" s="285" t="s">
        <v>33</v>
      </c>
      <c r="E42" s="324">
        <f>'3.sz.m Önk  bev.'!E40+'5.1 sz. m Köz Hiv'!D16</f>
        <v>8134398</v>
      </c>
      <c r="F42" s="324">
        <f>'3.sz.m Önk  bev.'!F40+'5.1 sz. m Köz Hiv'!E16</f>
        <v>8134398</v>
      </c>
      <c r="G42" s="324">
        <f>'3.sz.m Önk  bev.'!G40+'5.1 sz. m Köz Hiv'!F16</f>
        <v>8134398</v>
      </c>
      <c r="H42" s="324">
        <f>'3.sz.m Önk  bev.'!H40+'5.1 sz. m Köz Hiv'!G16</f>
        <v>6734099</v>
      </c>
      <c r="I42" s="324">
        <f>'3.sz.m Önk  bev.'!I40+'5.1 sz. m Köz Hiv'!H16+'5.2 sz. m ÁMK'!H19</f>
        <v>6734099</v>
      </c>
      <c r="J42" s="1788">
        <f t="shared" si="13"/>
        <v>1</v>
      </c>
      <c r="K42" s="324">
        <f>'3.sz.m Önk  bev.'!L40+'5.1 sz. m Köz Hiv'!L16</f>
        <v>8134398</v>
      </c>
      <c r="L42" s="249">
        <f>'3.sz.m Önk  bev.'!M40+'5.1 sz. m Köz Hiv'!M16</f>
        <v>8134398</v>
      </c>
      <c r="M42" s="249">
        <f>'3.sz.m Önk  bev.'!N40+'5.1 sz. m Köz Hiv'!N16</f>
        <v>8134398</v>
      </c>
      <c r="N42" s="249">
        <f>'3.sz.m Önk  bev.'!O40+'5.1 sz. m Köz Hiv'!O16</f>
        <v>6734099</v>
      </c>
      <c r="O42" s="249">
        <f>'3.sz.m Önk  bev.'!P40+'5.1 sz. m Köz Hiv'!P16+'5.2 sz. m ÁMK'!P19</f>
        <v>6734099</v>
      </c>
      <c r="P42" s="249">
        <f>'3.sz.m Önk  bev.'!Q40+'5.1 sz. m Köz Hiv'!Q16+'5.2 sz. m ÁMK'!Q19</f>
        <v>0</v>
      </c>
      <c r="Q42" s="1788">
        <f t="shared" si="14"/>
        <v>1</v>
      </c>
      <c r="R42" s="324">
        <v>0</v>
      </c>
      <c r="S42" s="249">
        <v>0</v>
      </c>
      <c r="T42" s="249">
        <v>0</v>
      </c>
      <c r="U42" s="249">
        <v>0</v>
      </c>
      <c r="V42" s="249"/>
      <c r="W42" s="857"/>
      <c r="X42" s="324">
        <v>0</v>
      </c>
      <c r="Y42" s="249">
        <v>0</v>
      </c>
      <c r="Z42" s="249">
        <v>0</v>
      </c>
      <c r="AA42" s="249">
        <v>0</v>
      </c>
      <c r="AB42" s="249">
        <v>0</v>
      </c>
      <c r="AC42" s="249">
        <v>0</v>
      </c>
      <c r="AD42" s="857">
        <v>0</v>
      </c>
      <c r="AE42" s="931"/>
    </row>
    <row r="43" spans="1:31" ht="33" customHeight="1" thickBot="1">
      <c r="A43" s="76" t="s">
        <v>10</v>
      </c>
      <c r="B43" s="1830" t="s">
        <v>304</v>
      </c>
      <c r="C43" s="1830"/>
      <c r="D43" s="1830"/>
      <c r="E43" s="316">
        <f>SUM(E44:E45)</f>
        <v>1074492</v>
      </c>
      <c r="F43" s="79">
        <f>SUM(F44:F45)+F49</f>
        <v>1074492</v>
      </c>
      <c r="G43" s="79">
        <f>SUM(G44:G45)+G49</f>
        <v>8516873</v>
      </c>
      <c r="H43" s="79">
        <f>SUM(H44:H45)+H49</f>
        <v>46404339</v>
      </c>
      <c r="I43" s="79">
        <f>SUM(I44:I45)+I49</f>
        <v>46404339</v>
      </c>
      <c r="J43" s="1785">
        <f>SUM(I43/H43)</f>
        <v>1</v>
      </c>
      <c r="K43" s="316">
        <f>SUM(K44:K45)</f>
        <v>1074492</v>
      </c>
      <c r="L43" s="79">
        <f>SUM(L44:L45)</f>
        <v>1074492</v>
      </c>
      <c r="M43" s="79">
        <f>SUM(M44:M45)</f>
        <v>8516873</v>
      </c>
      <c r="N43" s="79">
        <f>SUM(N44:N45)</f>
        <v>46404339</v>
      </c>
      <c r="O43" s="79">
        <f>SUM(O44:O45)+O49</f>
        <v>46404339</v>
      </c>
      <c r="P43" s="79">
        <f>SUM(P44:P45)+P49</f>
        <v>0</v>
      </c>
      <c r="Q43" s="665">
        <f>SUM(O43/N43)</f>
        <v>1</v>
      </c>
      <c r="R43" s="316">
        <f>SUM(R44:R45)</f>
        <v>0</v>
      </c>
      <c r="S43" s="79">
        <f>SUM(S44:S45)</f>
        <v>0</v>
      </c>
      <c r="T43" s="79">
        <f>SUM(T44:T45)</f>
        <v>0</v>
      </c>
      <c r="U43" s="79">
        <f>SUM(U44:U45)</f>
        <v>0</v>
      </c>
      <c r="V43" s="79">
        <f>SUM(V44:V45)+V49</f>
        <v>0</v>
      </c>
      <c r="W43" s="738">
        <f>SUM(W44:W45)+W49</f>
        <v>0</v>
      </c>
      <c r="X43" s="316">
        <f aca="true" t="shared" si="16" ref="X43:AD43">SUM(X44:X45)</f>
        <v>0</v>
      </c>
      <c r="Y43" s="79">
        <f>SUM(Y44:Y45)</f>
        <v>0</v>
      </c>
      <c r="Z43" s="79">
        <f>SUM(Z44:Z45)</f>
        <v>0</v>
      </c>
      <c r="AA43" s="79">
        <f>SUM(AA44:AA45)</f>
        <v>0</v>
      </c>
      <c r="AB43" s="79">
        <f t="shared" si="16"/>
        <v>0</v>
      </c>
      <c r="AC43" s="79">
        <f t="shared" si="16"/>
        <v>0</v>
      </c>
      <c r="AD43" s="738">
        <f t="shared" si="16"/>
        <v>0</v>
      </c>
      <c r="AE43" s="931"/>
    </row>
    <row r="44" spans="1:31" ht="21.75" customHeight="1">
      <c r="A44" s="70"/>
      <c r="B44" s="77" t="s">
        <v>305</v>
      </c>
      <c r="C44" s="1834" t="s">
        <v>307</v>
      </c>
      <c r="D44" s="1834"/>
      <c r="E44" s="324">
        <f>'3.sz.m Önk  bev.'!E42</f>
        <v>0</v>
      </c>
      <c r="F44" s="249">
        <f>'3.sz.m Önk  bev.'!F42</f>
        <v>0</v>
      </c>
      <c r="G44" s="249">
        <f>'3.sz.m Önk  bev.'!G42</f>
        <v>0</v>
      </c>
      <c r="H44" s="249">
        <f>'3.sz.m Önk  bev.'!H42</f>
        <v>2887467</v>
      </c>
      <c r="I44" s="249">
        <f>'3.sz.m Önk  bev.'!I42</f>
        <v>2887467</v>
      </c>
      <c r="J44" s="1786">
        <f>SUM(I44/H44)</f>
        <v>1</v>
      </c>
      <c r="K44" s="324">
        <f>'3.sz.m Önk  bev.'!L42</f>
        <v>0</v>
      </c>
      <c r="L44" s="249">
        <f>'3.sz.m Önk  bev.'!M42</f>
        <v>0</v>
      </c>
      <c r="M44" s="249">
        <f>'3.sz.m Önk  bev.'!N42</f>
        <v>0</v>
      </c>
      <c r="N44" s="249">
        <f>'3.sz.m Önk  bev.'!O42</f>
        <v>2887467</v>
      </c>
      <c r="O44" s="249">
        <f>'3.sz.m Önk  bev.'!P42</f>
        <v>2887467</v>
      </c>
      <c r="P44" s="249">
        <f>'3.sz.m Önk  bev.'!Q42</f>
        <v>0</v>
      </c>
      <c r="Q44" s="1786">
        <f>SUM(O44/N44)</f>
        <v>1</v>
      </c>
      <c r="R44" s="324">
        <v>0</v>
      </c>
      <c r="S44" s="249">
        <v>0</v>
      </c>
      <c r="T44" s="249">
        <v>0</v>
      </c>
      <c r="U44" s="249">
        <v>0</v>
      </c>
      <c r="V44" s="249"/>
      <c r="W44" s="857"/>
      <c r="X44" s="324">
        <v>0</v>
      </c>
      <c r="Y44" s="249">
        <v>0</v>
      </c>
      <c r="Z44" s="249">
        <v>0</v>
      </c>
      <c r="AA44" s="249">
        <v>0</v>
      </c>
      <c r="AB44" s="249">
        <v>0</v>
      </c>
      <c r="AC44" s="249">
        <v>0</v>
      </c>
      <c r="AD44" s="857">
        <v>0</v>
      </c>
      <c r="AE44" s="931"/>
    </row>
    <row r="45" spans="1:31" ht="21.75" customHeight="1">
      <c r="A45" s="69"/>
      <c r="B45" s="66" t="s">
        <v>306</v>
      </c>
      <c r="C45" s="1821" t="s">
        <v>308</v>
      </c>
      <c r="D45" s="1821"/>
      <c r="E45" s="324">
        <f aca="true" t="shared" si="17" ref="E45:P45">SUM(E46:E48)</f>
        <v>1074492</v>
      </c>
      <c r="F45" s="249">
        <f t="shared" si="17"/>
        <v>1074492</v>
      </c>
      <c r="G45" s="249">
        <f t="shared" si="17"/>
        <v>8516873</v>
      </c>
      <c r="H45" s="249">
        <f>SUM(H46:H48)</f>
        <v>43516872</v>
      </c>
      <c r="I45" s="249">
        <f t="shared" si="17"/>
        <v>43516872</v>
      </c>
      <c r="J45" s="1788">
        <f>SUM(I45/H45)</f>
        <v>1</v>
      </c>
      <c r="K45" s="324">
        <f t="shared" si="17"/>
        <v>1074492</v>
      </c>
      <c r="L45" s="249">
        <f>SUM(L46:L48)</f>
        <v>1074492</v>
      </c>
      <c r="M45" s="249">
        <f>SUM(M46:M48)</f>
        <v>8516873</v>
      </c>
      <c r="N45" s="249">
        <f>SUM(N46:N48)</f>
        <v>43516872</v>
      </c>
      <c r="O45" s="249">
        <f t="shared" si="17"/>
        <v>43516872</v>
      </c>
      <c r="P45" s="249">
        <f t="shared" si="17"/>
        <v>0</v>
      </c>
      <c r="Q45" s="1788">
        <f>SUM(O45/N45)</f>
        <v>1</v>
      </c>
      <c r="R45" s="324">
        <f>SUM(R46:R48)</f>
        <v>0</v>
      </c>
      <c r="S45" s="249">
        <f>SUM(S46:S48)</f>
        <v>0</v>
      </c>
      <c r="T45" s="249">
        <f>SUM(T46:T48)</f>
        <v>0</v>
      </c>
      <c r="U45" s="249">
        <v>0</v>
      </c>
      <c r="V45" s="249"/>
      <c r="W45" s="857"/>
      <c r="X45" s="324">
        <v>0</v>
      </c>
      <c r="Y45" s="249">
        <v>0</v>
      </c>
      <c r="Z45" s="249">
        <v>0</v>
      </c>
      <c r="AA45" s="249">
        <v>0</v>
      </c>
      <c r="AB45" s="249">
        <v>0</v>
      </c>
      <c r="AC45" s="249">
        <v>0</v>
      </c>
      <c r="AD45" s="857">
        <v>0</v>
      </c>
      <c r="AE45" s="931"/>
    </row>
    <row r="46" spans="1:31" ht="21.75" customHeight="1">
      <c r="A46" s="69"/>
      <c r="B46" s="77"/>
      <c r="C46" s="71" t="s">
        <v>309</v>
      </c>
      <c r="D46" s="547" t="s">
        <v>32</v>
      </c>
      <c r="E46" s="324">
        <f>'3.sz.m Önk  bev.'!E44</f>
        <v>0</v>
      </c>
      <c r="F46" s="249">
        <f>'3.sz.m Önk  bev.'!F44</f>
        <v>0</v>
      </c>
      <c r="G46" s="249">
        <f>'3.sz.m Önk  bev.'!G44</f>
        <v>0</v>
      </c>
      <c r="H46" s="249">
        <f>'3.sz.m Önk  bev.'!H44</f>
        <v>0</v>
      </c>
      <c r="I46" s="249">
        <f>'3.sz.m Önk  bev.'!I44</f>
        <v>0</v>
      </c>
      <c r="J46" s="1788"/>
      <c r="K46" s="324">
        <f>'3.sz.m Önk  bev.'!L44</f>
        <v>0</v>
      </c>
      <c r="L46" s="249">
        <f>'3.sz.m Önk  bev.'!M44</f>
        <v>0</v>
      </c>
      <c r="M46" s="249">
        <f>'3.sz.m Önk  bev.'!N44</f>
        <v>0</v>
      </c>
      <c r="N46" s="249">
        <f>'3.sz.m Önk  bev.'!O44</f>
        <v>0</v>
      </c>
      <c r="O46" s="249">
        <f>'3.sz.m Önk  bev.'!P44</f>
        <v>0</v>
      </c>
      <c r="P46" s="249">
        <f>'3.sz.m Önk  bev.'!Q44</f>
        <v>0</v>
      </c>
      <c r="Q46" s="1788"/>
      <c r="R46" s="324">
        <v>0</v>
      </c>
      <c r="S46" s="249">
        <v>0</v>
      </c>
      <c r="T46" s="249">
        <v>0</v>
      </c>
      <c r="U46" s="249">
        <v>0</v>
      </c>
      <c r="V46" s="249"/>
      <c r="W46" s="857"/>
      <c r="X46" s="324">
        <v>0</v>
      </c>
      <c r="Y46" s="249">
        <v>0</v>
      </c>
      <c r="Z46" s="249">
        <v>0</v>
      </c>
      <c r="AA46" s="249">
        <v>0</v>
      </c>
      <c r="AB46" s="249">
        <v>0</v>
      </c>
      <c r="AC46" s="249">
        <v>0</v>
      </c>
      <c r="AD46" s="857">
        <v>0</v>
      </c>
      <c r="AE46" s="931"/>
    </row>
    <row r="47" spans="1:31" ht="21.75" customHeight="1">
      <c r="A47" s="69"/>
      <c r="B47" s="66"/>
      <c r="C47" s="65" t="s">
        <v>310</v>
      </c>
      <c r="D47" s="547" t="s">
        <v>31</v>
      </c>
      <c r="E47" s="324">
        <f>'3.sz.m Önk  bev.'!E45</f>
        <v>1074492</v>
      </c>
      <c r="F47" s="249">
        <f>'3.sz.m Önk  bev.'!F45</f>
        <v>1074492</v>
      </c>
      <c r="G47" s="249">
        <f>'3.sz.m Önk  bev.'!G45</f>
        <v>1074492</v>
      </c>
      <c r="H47" s="249">
        <f>'3.sz.m Önk  bev.'!H45</f>
        <v>1074492</v>
      </c>
      <c r="I47" s="249">
        <f>'3.sz.m Önk  bev.'!I45</f>
        <v>1074492</v>
      </c>
      <c r="J47" s="1788">
        <f>SUM(I47/H47)</f>
        <v>1</v>
      </c>
      <c r="K47" s="324">
        <f>'3.sz.m Önk  bev.'!L45</f>
        <v>1074492</v>
      </c>
      <c r="L47" s="249">
        <f>'3.sz.m Önk  bev.'!M45</f>
        <v>1074492</v>
      </c>
      <c r="M47" s="249">
        <f>'3.sz.m Önk  bev.'!N45</f>
        <v>1074492</v>
      </c>
      <c r="N47" s="249">
        <f>'3.sz.m Önk  bev.'!O45</f>
        <v>1074492</v>
      </c>
      <c r="O47" s="249">
        <f>'3.sz.m Önk  bev.'!P45</f>
        <v>1074492</v>
      </c>
      <c r="P47" s="249">
        <f>'3.sz.m Önk  bev.'!Q45</f>
        <v>0</v>
      </c>
      <c r="Q47" s="1788">
        <f>SUM(O47/N47)</f>
        <v>1</v>
      </c>
      <c r="R47" s="323">
        <f>+'3.sz.m Önk  bev.'!S45</f>
        <v>0</v>
      </c>
      <c r="S47" s="248">
        <f>+'3.sz.m Önk  bev.'!T45</f>
        <v>0</v>
      </c>
      <c r="T47" s="248">
        <f>+'3.sz.m Önk  bev.'!U45</f>
        <v>0</v>
      </c>
      <c r="U47" s="248">
        <f>+'3.sz.m Önk  bev.'!V45</f>
        <v>0</v>
      </c>
      <c r="V47" s="249"/>
      <c r="W47" s="857"/>
      <c r="X47" s="324">
        <v>0</v>
      </c>
      <c r="Y47" s="249">
        <v>0</v>
      </c>
      <c r="Z47" s="249">
        <v>0</v>
      </c>
      <c r="AA47" s="249">
        <v>0</v>
      </c>
      <c r="AB47" s="249">
        <v>0</v>
      </c>
      <c r="AC47" s="249">
        <v>0</v>
      </c>
      <c r="AD47" s="857">
        <v>0</v>
      </c>
      <c r="AE47" s="931"/>
    </row>
    <row r="48" spans="1:31" ht="21.75" customHeight="1">
      <c r="A48" s="73"/>
      <c r="B48" s="77"/>
      <c r="C48" s="71" t="s">
        <v>311</v>
      </c>
      <c r="D48" s="547" t="s">
        <v>312</v>
      </c>
      <c r="E48" s="324">
        <f>'3.sz.m Önk  bev.'!E46</f>
        <v>0</v>
      </c>
      <c r="F48" s="249">
        <f>'3.sz.m Önk  bev.'!F46</f>
        <v>0</v>
      </c>
      <c r="G48" s="249">
        <f>'3.sz.m Önk  bev.'!G46</f>
        <v>7442381</v>
      </c>
      <c r="H48" s="249">
        <f>'3.sz.m Önk  bev.'!H46</f>
        <v>42442380</v>
      </c>
      <c r="I48" s="249">
        <f>'3.sz.m Önk  bev.'!I46</f>
        <v>42442380</v>
      </c>
      <c r="J48" s="1788">
        <f>SUM(I48/H48)</f>
        <v>1</v>
      </c>
      <c r="K48" s="324">
        <f>'3.sz.m Önk  bev.'!L46</f>
        <v>0</v>
      </c>
      <c r="L48" s="249">
        <f>'3.sz.m Önk  bev.'!M46</f>
        <v>0</v>
      </c>
      <c r="M48" s="249">
        <f>'3.sz.m Önk  bev.'!N46</f>
        <v>7442381</v>
      </c>
      <c r="N48" s="249">
        <f>'3.sz.m Önk  bev.'!O46</f>
        <v>42442380</v>
      </c>
      <c r="O48" s="249">
        <f>'3.sz.m Önk  bev.'!P46</f>
        <v>42442380</v>
      </c>
      <c r="P48" s="249">
        <f>'3.sz.m Önk  bev.'!Q46</f>
        <v>0</v>
      </c>
      <c r="Q48" s="1788">
        <f>SUM(O48/N48)</f>
        <v>1</v>
      </c>
      <c r="R48" s="324">
        <v>0</v>
      </c>
      <c r="S48" s="249">
        <v>0</v>
      </c>
      <c r="T48" s="249">
        <v>0</v>
      </c>
      <c r="U48" s="249">
        <v>0</v>
      </c>
      <c r="V48" s="249"/>
      <c r="W48" s="857"/>
      <c r="X48" s="324">
        <v>0</v>
      </c>
      <c r="Y48" s="249">
        <v>0</v>
      </c>
      <c r="Z48" s="249">
        <v>0</v>
      </c>
      <c r="AA48" s="249">
        <v>0</v>
      </c>
      <c r="AB48" s="249">
        <v>0</v>
      </c>
      <c r="AC48" s="249">
        <v>0</v>
      </c>
      <c r="AD48" s="857">
        <v>0</v>
      </c>
      <c r="AE48" s="931"/>
    </row>
    <row r="49" spans="1:31" ht="21.75" customHeight="1" thickBot="1">
      <c r="A49" s="330"/>
      <c r="B49" s="66" t="s">
        <v>335</v>
      </c>
      <c r="C49" s="1821" t="s">
        <v>470</v>
      </c>
      <c r="D49" s="1821"/>
      <c r="E49" s="324"/>
      <c r="F49" s="249">
        <f>'3.sz.m Önk  bev.'!F47</f>
        <v>0</v>
      </c>
      <c r="G49" s="249">
        <f>'3.sz.m Önk  bev.'!G47</f>
        <v>0</v>
      </c>
      <c r="H49" s="249">
        <f>'3.sz.m Önk  bev.'!H47</f>
        <v>0</v>
      </c>
      <c r="I49" s="249">
        <f>'3.sz.m Önk  bev.'!I47</f>
        <v>0</v>
      </c>
      <c r="J49" s="1788"/>
      <c r="K49" s="324"/>
      <c r="L49" s="249"/>
      <c r="M49" s="249"/>
      <c r="N49" s="249"/>
      <c r="O49" s="249">
        <f>'3.sz.m Önk  bev.'!P47</f>
        <v>0</v>
      </c>
      <c r="P49" s="249">
        <f>'3.sz.m Önk  bev.'!Q47</f>
        <v>0</v>
      </c>
      <c r="Q49" s="656"/>
      <c r="R49" s="324">
        <v>0</v>
      </c>
      <c r="S49" s="249">
        <v>0</v>
      </c>
      <c r="T49" s="249">
        <v>0</v>
      </c>
      <c r="U49" s="249">
        <v>0</v>
      </c>
      <c r="V49" s="249">
        <f>'3.sz.m Önk  bev.'!W47</f>
        <v>0</v>
      </c>
      <c r="W49" s="857">
        <f>'3.sz.m Önk  bev.'!X47</f>
        <v>0</v>
      </c>
      <c r="X49" s="324">
        <v>0</v>
      </c>
      <c r="Y49" s="249">
        <v>0</v>
      </c>
      <c r="Z49" s="249">
        <v>0</v>
      </c>
      <c r="AA49" s="249">
        <v>0</v>
      </c>
      <c r="AB49" s="249">
        <v>0</v>
      </c>
      <c r="AC49" s="249">
        <v>0</v>
      </c>
      <c r="AD49" s="857">
        <v>0</v>
      </c>
      <c r="AE49" s="931"/>
    </row>
    <row r="50" spans="1:31" ht="21.75" customHeight="1" hidden="1" thickBot="1">
      <c r="A50" s="330"/>
      <c r="B50" s="77"/>
      <c r="C50" s="1827"/>
      <c r="D50" s="1828"/>
      <c r="E50" s="491"/>
      <c r="F50" s="492"/>
      <c r="G50" s="492"/>
      <c r="H50" s="492"/>
      <c r="I50" s="492"/>
      <c r="J50" s="492"/>
      <c r="K50" s="491"/>
      <c r="L50" s="492"/>
      <c r="M50" s="492"/>
      <c r="N50" s="492"/>
      <c r="O50" s="492"/>
      <c r="P50" s="492"/>
      <c r="Q50" s="657" t="e">
        <f>P50/N50</f>
        <v>#DIV/0!</v>
      </c>
      <c r="R50" s="491"/>
      <c r="S50" s="492"/>
      <c r="T50" s="492"/>
      <c r="U50" s="492"/>
      <c r="V50" s="492"/>
      <c r="W50" s="859"/>
      <c r="X50" s="491"/>
      <c r="Y50" s="492"/>
      <c r="Z50" s="492"/>
      <c r="AA50" s="492"/>
      <c r="AB50" s="492"/>
      <c r="AC50" s="492"/>
      <c r="AD50" s="859"/>
      <c r="AE50" s="931"/>
    </row>
    <row r="51" spans="1:31" ht="21.75" customHeight="1" thickBot="1">
      <c r="A51" s="76" t="s">
        <v>11</v>
      </c>
      <c r="B51" s="1829" t="s">
        <v>73</v>
      </c>
      <c r="C51" s="1829"/>
      <c r="D51" s="1829"/>
      <c r="E51" s="316">
        <f aca="true" t="shared" si="18" ref="E51:P51">E52+E53</f>
        <v>360000</v>
      </c>
      <c r="F51" s="79">
        <f t="shared" si="18"/>
        <v>360000</v>
      </c>
      <c r="G51" s="79">
        <f t="shared" si="18"/>
        <v>360000</v>
      </c>
      <c r="H51" s="79">
        <f>H52+H53</f>
        <v>360000</v>
      </c>
      <c r="I51" s="79">
        <f t="shared" si="18"/>
        <v>360000</v>
      </c>
      <c r="J51" s="1785">
        <f>SUM(I51/H51)</f>
        <v>1</v>
      </c>
      <c r="K51" s="316">
        <f t="shared" si="18"/>
        <v>360000</v>
      </c>
      <c r="L51" s="79">
        <f>L52+L53</f>
        <v>360000</v>
      </c>
      <c r="M51" s="79">
        <f>M52+M53</f>
        <v>360000</v>
      </c>
      <c r="N51" s="79">
        <f>N52+N53</f>
        <v>360000</v>
      </c>
      <c r="O51" s="79">
        <f t="shared" si="18"/>
        <v>360000</v>
      </c>
      <c r="P51" s="79">
        <f t="shared" si="18"/>
        <v>0</v>
      </c>
      <c r="Q51" s="665">
        <f>SUM(O51/N51)</f>
        <v>1</v>
      </c>
      <c r="R51" s="316">
        <f aca="true" t="shared" si="19" ref="R51:W51">R52+R53</f>
        <v>0</v>
      </c>
      <c r="S51" s="79">
        <f>S52+S53</f>
        <v>0</v>
      </c>
      <c r="T51" s="79">
        <f>T52+T53</f>
        <v>0</v>
      </c>
      <c r="U51" s="79">
        <f>U52+U53</f>
        <v>0</v>
      </c>
      <c r="V51" s="79">
        <f t="shared" si="19"/>
        <v>0</v>
      </c>
      <c r="W51" s="738">
        <f t="shared" si="19"/>
        <v>0</v>
      </c>
      <c r="X51" s="316">
        <f aca="true" t="shared" si="20" ref="X51:AD51">X52+X53</f>
        <v>0</v>
      </c>
      <c r="Y51" s="79">
        <f>Y52+Y53</f>
        <v>0</v>
      </c>
      <c r="Z51" s="79">
        <f>Z52+Z53</f>
        <v>0</v>
      </c>
      <c r="AA51" s="79">
        <f>AA52+AA53</f>
        <v>0</v>
      </c>
      <c r="AB51" s="79">
        <f t="shared" si="20"/>
        <v>0</v>
      </c>
      <c r="AC51" s="79">
        <f t="shared" si="20"/>
        <v>0</v>
      </c>
      <c r="AD51" s="738">
        <f t="shared" si="20"/>
        <v>0</v>
      </c>
      <c r="AE51" s="931"/>
    </row>
    <row r="52" spans="1:31" s="7" customFormat="1" ht="21.75" customHeight="1">
      <c r="A52" s="78"/>
      <c r="B52" s="77" t="s">
        <v>43</v>
      </c>
      <c r="C52" s="1834" t="s">
        <v>324</v>
      </c>
      <c r="D52" s="1834"/>
      <c r="E52" s="324">
        <f>'3.sz.m Önk  bev.'!E50</f>
        <v>60000</v>
      </c>
      <c r="F52" s="249">
        <f>'3.sz.m Önk  bev.'!F50</f>
        <v>60000</v>
      </c>
      <c r="G52" s="249">
        <f>'3.sz.m Önk  bev.'!G50</f>
        <v>60000</v>
      </c>
      <c r="H52" s="249">
        <f>'3.sz.m Önk  bev.'!H50</f>
        <v>60000</v>
      </c>
      <c r="I52" s="249">
        <f>'3.sz.m Önk  bev.'!I50+'5.2 sz. m ÁMK'!H24</f>
        <v>60000</v>
      </c>
      <c r="J52" s="1788">
        <f>SUM(I52/H52)</f>
        <v>1</v>
      </c>
      <c r="K52" s="324">
        <f>'3.sz.m Önk  bev.'!L50</f>
        <v>60000</v>
      </c>
      <c r="L52" s="249">
        <f>'3.sz.m Önk  bev.'!M50</f>
        <v>60000</v>
      </c>
      <c r="M52" s="249">
        <f>'3.sz.m Önk  bev.'!N50</f>
        <v>60000</v>
      </c>
      <c r="N52" s="249">
        <f>'3.sz.m Önk  bev.'!O50</f>
        <v>60000</v>
      </c>
      <c r="O52" s="249">
        <f>'3.sz.m Önk  bev.'!P50</f>
        <v>60000</v>
      </c>
      <c r="P52" s="249">
        <f>'3.sz.m Önk  bev.'!Q50+'5.2 sz. m ÁMK'!I24</f>
        <v>0</v>
      </c>
      <c r="Q52" s="1788">
        <f>SUM(O52/N52)</f>
        <v>1</v>
      </c>
      <c r="R52" s="324">
        <v>0</v>
      </c>
      <c r="S52" s="249">
        <v>0</v>
      </c>
      <c r="T52" s="249">
        <v>0</v>
      </c>
      <c r="U52" s="249">
        <v>0</v>
      </c>
      <c r="V52" s="249"/>
      <c r="W52" s="857"/>
      <c r="X52" s="324">
        <v>0</v>
      </c>
      <c r="Y52" s="249">
        <v>0</v>
      </c>
      <c r="Z52" s="249">
        <v>0</v>
      </c>
      <c r="AA52" s="249">
        <v>0</v>
      </c>
      <c r="AB52" s="249">
        <v>0</v>
      </c>
      <c r="AC52" s="249">
        <v>0</v>
      </c>
      <c r="AD52" s="857">
        <v>0</v>
      </c>
      <c r="AE52" s="931"/>
    </row>
    <row r="53" spans="1:31" ht="21.75" customHeight="1" thickBot="1">
      <c r="A53" s="69"/>
      <c r="B53" s="65" t="s">
        <v>44</v>
      </c>
      <c r="C53" s="1821" t="s">
        <v>456</v>
      </c>
      <c r="D53" s="1821"/>
      <c r="E53" s="324">
        <f>'3.sz.m Önk  bev.'!E51</f>
        <v>300000</v>
      </c>
      <c r="F53" s="249">
        <f>'3.sz.m Önk  bev.'!F51</f>
        <v>300000</v>
      </c>
      <c r="G53" s="249">
        <f>'3.sz.m Önk  bev.'!G51</f>
        <v>300000</v>
      </c>
      <c r="H53" s="249">
        <f>'3.sz.m Önk  bev.'!H51</f>
        <v>300000</v>
      </c>
      <c r="I53" s="249">
        <f>'3.sz.m Önk  bev.'!I51</f>
        <v>300000</v>
      </c>
      <c r="J53" s="1788">
        <f>SUM(I53/H53)</f>
        <v>1</v>
      </c>
      <c r="K53" s="324">
        <f>'3.sz.m Önk  bev.'!L51</f>
        <v>300000</v>
      </c>
      <c r="L53" s="249">
        <f>'3.sz.m Önk  bev.'!M51</f>
        <v>300000</v>
      </c>
      <c r="M53" s="249">
        <f>'3.sz.m Önk  bev.'!N51</f>
        <v>300000</v>
      </c>
      <c r="N53" s="249">
        <f>'3.sz.m Önk  bev.'!O51</f>
        <v>300000</v>
      </c>
      <c r="O53" s="249">
        <f>'3.sz.m Önk  bev.'!P51</f>
        <v>300000</v>
      </c>
      <c r="P53" s="249">
        <f>'3.sz.m Önk  bev.'!Q51</f>
        <v>0</v>
      </c>
      <c r="Q53" s="1788">
        <f>SUM(O53/N53)</f>
        <v>1</v>
      </c>
      <c r="R53" s="324">
        <v>0</v>
      </c>
      <c r="S53" s="249">
        <v>0</v>
      </c>
      <c r="T53" s="249">
        <v>0</v>
      </c>
      <c r="U53" s="249">
        <v>0</v>
      </c>
      <c r="V53" s="249"/>
      <c r="W53" s="857"/>
      <c r="X53" s="324">
        <v>0</v>
      </c>
      <c r="Y53" s="249">
        <v>0</v>
      </c>
      <c r="Z53" s="249">
        <v>0</v>
      </c>
      <c r="AA53" s="249">
        <v>0</v>
      </c>
      <c r="AB53" s="249">
        <v>0</v>
      </c>
      <c r="AC53" s="249">
        <v>0</v>
      </c>
      <c r="AD53" s="857">
        <v>0</v>
      </c>
      <c r="AE53" s="931"/>
    </row>
    <row r="54" spans="1:31" ht="21.75" customHeight="1" thickBot="1">
      <c r="A54" s="76" t="s">
        <v>12</v>
      </c>
      <c r="B54" s="1829" t="s">
        <v>313</v>
      </c>
      <c r="C54" s="1829"/>
      <c r="D54" s="1829"/>
      <c r="E54" s="311">
        <f aca="true" t="shared" si="21" ref="E54:P54">SUM(E55:E56)</f>
        <v>600000</v>
      </c>
      <c r="F54" s="250">
        <f t="shared" si="21"/>
        <v>600000</v>
      </c>
      <c r="G54" s="250">
        <f t="shared" si="21"/>
        <v>600000</v>
      </c>
      <c r="H54" s="250">
        <f>SUM(H55:H56)</f>
        <v>1264300</v>
      </c>
      <c r="I54" s="250">
        <f t="shared" si="21"/>
        <v>1264300</v>
      </c>
      <c r="J54" s="1785">
        <f>SUM(I54/H54)</f>
        <v>1</v>
      </c>
      <c r="K54" s="311">
        <f t="shared" si="21"/>
        <v>600000</v>
      </c>
      <c r="L54" s="250">
        <f>SUM(L55:L56)</f>
        <v>600000</v>
      </c>
      <c r="M54" s="250">
        <f>SUM(M55:M56)</f>
        <v>600000</v>
      </c>
      <c r="N54" s="250">
        <f>SUM(N55:N56)</f>
        <v>1264300</v>
      </c>
      <c r="O54" s="250">
        <f t="shared" si="21"/>
        <v>1264300</v>
      </c>
      <c r="P54" s="250">
        <f t="shared" si="21"/>
        <v>0</v>
      </c>
      <c r="Q54" s="665">
        <f>SUM(O54/N54)</f>
        <v>1</v>
      </c>
      <c r="R54" s="311">
        <f aca="true" t="shared" si="22" ref="R54:W54">SUM(R55:R56)</f>
        <v>0</v>
      </c>
      <c r="S54" s="250">
        <f>SUM(S55:S56)</f>
        <v>0</v>
      </c>
      <c r="T54" s="250">
        <f>SUM(T55:T56)</f>
        <v>0</v>
      </c>
      <c r="U54" s="250">
        <f>SUM(U55:U56)</f>
        <v>0</v>
      </c>
      <c r="V54" s="250">
        <f t="shared" si="22"/>
        <v>0</v>
      </c>
      <c r="W54" s="734">
        <f t="shared" si="22"/>
        <v>0</v>
      </c>
      <c r="X54" s="311">
        <f aca="true" t="shared" si="23" ref="X54:AD54">SUM(X55:X56)</f>
        <v>0</v>
      </c>
      <c r="Y54" s="250">
        <f>SUM(Y55:Y56)</f>
        <v>0</v>
      </c>
      <c r="Z54" s="250">
        <f>SUM(Z55:Z56)</f>
        <v>0</v>
      </c>
      <c r="AA54" s="250">
        <f>SUM(AA55:AA56)</f>
        <v>0</v>
      </c>
      <c r="AB54" s="250">
        <f t="shared" si="23"/>
        <v>0</v>
      </c>
      <c r="AC54" s="250">
        <f t="shared" si="23"/>
        <v>0</v>
      </c>
      <c r="AD54" s="734">
        <f t="shared" si="23"/>
        <v>0</v>
      </c>
      <c r="AE54" s="931"/>
    </row>
    <row r="55" spans="1:31" s="7" customFormat="1" ht="21.75" customHeight="1">
      <c r="A55" s="78"/>
      <c r="B55" s="71" t="s">
        <v>45</v>
      </c>
      <c r="C55" s="1834" t="s">
        <v>315</v>
      </c>
      <c r="D55" s="1834"/>
      <c r="E55" s="327">
        <f>'3.sz.m Önk  bev.'!E53</f>
        <v>600000</v>
      </c>
      <c r="F55" s="251">
        <f>'3.sz.m Önk  bev.'!F53</f>
        <v>600000</v>
      </c>
      <c r="G55" s="251">
        <f>'3.sz.m Önk  bev.'!G53</f>
        <v>600000</v>
      </c>
      <c r="H55" s="251">
        <f>'3.sz.m Önk  bev.'!H53</f>
        <v>1264300</v>
      </c>
      <c r="I55" s="251">
        <f>'3.sz.m Önk  bev.'!I53</f>
        <v>1264300</v>
      </c>
      <c r="J55" s="1790">
        <f>SUM(I55/H55)</f>
        <v>1</v>
      </c>
      <c r="K55" s="327">
        <f>'3.sz.m Önk  bev.'!L53</f>
        <v>600000</v>
      </c>
      <c r="L55" s="251">
        <f>'3.sz.m Önk  bev.'!M53</f>
        <v>600000</v>
      </c>
      <c r="M55" s="251">
        <f>'3.sz.m Önk  bev.'!N53</f>
        <v>600000</v>
      </c>
      <c r="N55" s="251">
        <f>'3.sz.m Önk  bev.'!O53</f>
        <v>1264300</v>
      </c>
      <c r="O55" s="251">
        <f>'3.sz.m Önk  bev.'!P53</f>
        <v>1264300</v>
      </c>
      <c r="P55" s="251">
        <f>'3.sz.m Önk  bev.'!Q53</f>
        <v>0</v>
      </c>
      <c r="Q55" s="1788">
        <f>SUM(O55/N55)</f>
        <v>1</v>
      </c>
      <c r="R55" s="327">
        <v>0</v>
      </c>
      <c r="S55" s="251">
        <v>0</v>
      </c>
      <c r="T55" s="251">
        <v>0</v>
      </c>
      <c r="U55" s="251">
        <v>0</v>
      </c>
      <c r="V55" s="251"/>
      <c r="W55" s="1162"/>
      <c r="X55" s="327">
        <v>0</v>
      </c>
      <c r="Y55" s="251">
        <v>0</v>
      </c>
      <c r="Z55" s="251">
        <v>0</v>
      </c>
      <c r="AA55" s="251">
        <v>0</v>
      </c>
      <c r="AB55" s="251">
        <v>0</v>
      </c>
      <c r="AC55" s="251">
        <v>0</v>
      </c>
      <c r="AD55" s="1162">
        <v>0</v>
      </c>
      <c r="AE55" s="931"/>
    </row>
    <row r="56" spans="1:31" ht="21.75" customHeight="1" thickBot="1">
      <c r="A56" s="73"/>
      <c r="B56" s="74" t="s">
        <v>314</v>
      </c>
      <c r="C56" s="1835" t="s">
        <v>316</v>
      </c>
      <c r="D56" s="1835"/>
      <c r="E56" s="325">
        <v>0</v>
      </c>
      <c r="F56" s="326">
        <v>0</v>
      </c>
      <c r="G56" s="326">
        <v>0</v>
      </c>
      <c r="H56" s="326">
        <v>0</v>
      </c>
      <c r="I56" s="326">
        <v>0</v>
      </c>
      <c r="J56" s="1789">
        <v>0</v>
      </c>
      <c r="K56" s="325">
        <v>0</v>
      </c>
      <c r="L56" s="326">
        <v>0</v>
      </c>
      <c r="M56" s="326">
        <v>0</v>
      </c>
      <c r="N56" s="326">
        <v>0</v>
      </c>
      <c r="O56" s="326"/>
      <c r="P56" s="326"/>
      <c r="Q56" s="671"/>
      <c r="R56" s="325">
        <v>0</v>
      </c>
      <c r="S56" s="326">
        <v>0</v>
      </c>
      <c r="T56" s="326">
        <v>0</v>
      </c>
      <c r="U56" s="326">
        <v>0</v>
      </c>
      <c r="V56" s="326"/>
      <c r="W56" s="809"/>
      <c r="X56" s="325">
        <v>0</v>
      </c>
      <c r="Y56" s="326">
        <v>0</v>
      </c>
      <c r="Z56" s="326">
        <v>0</v>
      </c>
      <c r="AA56" s="326">
        <v>0</v>
      </c>
      <c r="AB56" s="326">
        <v>0</v>
      </c>
      <c r="AC56" s="326">
        <v>0</v>
      </c>
      <c r="AD56" s="809">
        <v>0</v>
      </c>
      <c r="AE56" s="931"/>
    </row>
    <row r="57" spans="1:31" ht="21.75" customHeight="1" thickBot="1">
      <c r="A57" s="76" t="s">
        <v>13</v>
      </c>
      <c r="B57" s="1841" t="s">
        <v>75</v>
      </c>
      <c r="C57" s="1841"/>
      <c r="D57" s="1841"/>
      <c r="E57" s="311">
        <f aca="true" t="shared" si="24" ref="E57:P57">E7+E21+E43+E51+E54+E34</f>
        <v>622258860</v>
      </c>
      <c r="F57" s="250">
        <f t="shared" si="24"/>
        <v>608806633</v>
      </c>
      <c r="G57" s="250">
        <f>G7+G21+G43+G51+G54+G34</f>
        <v>630822286</v>
      </c>
      <c r="H57" s="250">
        <f>H7+H21+H43+H51+H54+H34</f>
        <v>672147117</v>
      </c>
      <c r="I57" s="250">
        <f t="shared" si="24"/>
        <v>664780426</v>
      </c>
      <c r="J57" s="1785">
        <f>SUM(I57/H57)</f>
        <v>0.9890400615971101</v>
      </c>
      <c r="K57" s="311">
        <f t="shared" si="24"/>
        <v>602578892</v>
      </c>
      <c r="L57" s="250">
        <f>L7+L21+L43+L51+L54+L34</f>
        <v>581166886</v>
      </c>
      <c r="M57" s="250">
        <f>M7+M21+M43+M51+M54+M34</f>
        <v>603182539</v>
      </c>
      <c r="N57" s="250">
        <f>N7+N21+N43+N51+N54+N34</f>
        <v>649181965</v>
      </c>
      <c r="O57" s="250">
        <f t="shared" si="24"/>
        <v>641914057</v>
      </c>
      <c r="P57" s="250">
        <f t="shared" si="24"/>
        <v>0</v>
      </c>
      <c r="Q57" s="665">
        <f>SUM(O57/N57)</f>
        <v>0.9888045133847796</v>
      </c>
      <c r="R57" s="311">
        <f>R7+R21+R43+R51+R54+R34</f>
        <v>19679968</v>
      </c>
      <c r="S57" s="250">
        <f>S7+S21+S43+S51+S54+S34</f>
        <v>27639747</v>
      </c>
      <c r="T57" s="250">
        <f>T7+T21+T43+T51+T54+T34</f>
        <v>27639747</v>
      </c>
      <c r="U57" s="250">
        <f>U7+U21+U43+U51+U54+U34</f>
        <v>22965152</v>
      </c>
      <c r="V57" s="250">
        <f>V7+V21+V43+V51+V54+V34</f>
        <v>22866369</v>
      </c>
      <c r="W57" s="665">
        <f>SUM(U57/T57)</f>
        <v>0.8308741755125327</v>
      </c>
      <c r="X57" s="311">
        <f aca="true" t="shared" si="25" ref="X57:AD57">X7+X21+X43+X51+X54+X34</f>
        <v>0</v>
      </c>
      <c r="Y57" s="250">
        <f>Y7+Y21+Y43+Y51+Y54+Y34</f>
        <v>0</v>
      </c>
      <c r="Z57" s="250">
        <f>Z7+Z21+Z43+Z51+Z54+Z34</f>
        <v>0</v>
      </c>
      <c r="AA57" s="250">
        <f>AA7+AA21+AA43+AA51+AA54+AA34</f>
        <v>0</v>
      </c>
      <c r="AB57" s="250">
        <f t="shared" si="25"/>
        <v>5610894</v>
      </c>
      <c r="AC57" s="250">
        <f t="shared" si="25"/>
        <v>5610894</v>
      </c>
      <c r="AD57" s="734">
        <f t="shared" si="25"/>
        <v>5610894</v>
      </c>
      <c r="AE57" s="931"/>
    </row>
    <row r="58" spans="1:31" ht="24" customHeight="1" thickBot="1">
      <c r="A58" s="72" t="s">
        <v>56</v>
      </c>
      <c r="B58" s="1829" t="s">
        <v>317</v>
      </c>
      <c r="C58" s="1829"/>
      <c r="D58" s="1829"/>
      <c r="E58" s="311">
        <f aca="true" t="shared" si="26" ref="E58:P58">SUM(E59:E61)</f>
        <v>304279553</v>
      </c>
      <c r="F58" s="250">
        <f t="shared" si="26"/>
        <v>304279553</v>
      </c>
      <c r="G58" s="250">
        <f t="shared" si="26"/>
        <v>304279553</v>
      </c>
      <c r="H58" s="250">
        <f>SUM(H59:H61)</f>
        <v>320456000</v>
      </c>
      <c r="I58" s="250">
        <f t="shared" si="26"/>
        <v>320456000</v>
      </c>
      <c r="J58" s="1785">
        <f>SUM(I58/H58)</f>
        <v>1</v>
      </c>
      <c r="K58" s="311">
        <f t="shared" si="26"/>
        <v>288643759</v>
      </c>
      <c r="L58" s="250">
        <f>SUM(L59:L61)</f>
        <v>288643759</v>
      </c>
      <c r="M58" s="250">
        <f>SUM(M59:M61)</f>
        <v>288643759</v>
      </c>
      <c r="N58" s="250">
        <f>SUM(N59:N61)</f>
        <v>304820206</v>
      </c>
      <c r="O58" s="250">
        <f t="shared" si="26"/>
        <v>304820206</v>
      </c>
      <c r="P58" s="250">
        <f t="shared" si="26"/>
        <v>1</v>
      </c>
      <c r="Q58" s="665">
        <f>SUM(O58/N58)</f>
        <v>1</v>
      </c>
      <c r="R58" s="311">
        <f>SUM(R59:R61)</f>
        <v>15635794</v>
      </c>
      <c r="S58" s="250">
        <f>SUM(S59:S61)</f>
        <v>15635794</v>
      </c>
      <c r="T58" s="250">
        <f>SUM(T59:T61)</f>
        <v>15635794</v>
      </c>
      <c r="U58" s="250">
        <f>SUM(U59:U61)</f>
        <v>15635794</v>
      </c>
      <c r="V58" s="250">
        <f>SUM(V59:V61)</f>
        <v>15635794</v>
      </c>
      <c r="W58" s="665">
        <f>SUM(U58/T58)</f>
        <v>1</v>
      </c>
      <c r="X58" s="311">
        <f aca="true" t="shared" si="27" ref="X58:AD58">SUM(X59:X61)</f>
        <v>0</v>
      </c>
      <c r="Y58" s="250">
        <f>SUM(Y59:Y61)</f>
        <v>0</v>
      </c>
      <c r="Z58" s="250">
        <f>SUM(Z59:Z61)</f>
        <v>0</v>
      </c>
      <c r="AA58" s="250">
        <f>SUM(AA59:AA61)</f>
        <v>0</v>
      </c>
      <c r="AB58" s="250">
        <f t="shared" si="27"/>
        <v>0</v>
      </c>
      <c r="AC58" s="250">
        <f t="shared" si="27"/>
        <v>0</v>
      </c>
      <c r="AD58" s="734">
        <f t="shared" si="27"/>
        <v>0</v>
      </c>
      <c r="AE58" s="931"/>
    </row>
    <row r="59" spans="1:31" ht="21.75" customHeight="1">
      <c r="A59" s="70"/>
      <c r="B59" s="71" t="s">
        <v>46</v>
      </c>
      <c r="C59" s="1834" t="s">
        <v>525</v>
      </c>
      <c r="D59" s="1834"/>
      <c r="E59" s="324">
        <f>'3.sz.m Önk  bev.'!E57</f>
        <v>0</v>
      </c>
      <c r="F59" s="249">
        <f>'3.sz.m Önk  bev.'!F57</f>
        <v>0</v>
      </c>
      <c r="G59" s="249">
        <f>'3.sz.m Önk  bev.'!G57</f>
        <v>0</v>
      </c>
      <c r="H59" s="249">
        <f>'3.sz.m Önk  bev.'!H57</f>
        <v>13999235</v>
      </c>
      <c r="I59" s="249">
        <f>'3.sz.m Önk  bev.'!I57</f>
        <v>13999235</v>
      </c>
      <c r="J59" s="1788">
        <f>SUM(I59/H59)</f>
        <v>1</v>
      </c>
      <c r="K59" s="324">
        <f>'3.sz.m Önk  bev.'!L57</f>
        <v>0</v>
      </c>
      <c r="L59" s="249">
        <f>'3.sz.m Önk  bev.'!M57</f>
        <v>0</v>
      </c>
      <c r="M59" s="249">
        <f>'3.sz.m Önk  bev.'!N57</f>
        <v>0</v>
      </c>
      <c r="N59" s="249">
        <f>'3.sz.m Önk  bev.'!O57</f>
        <v>13999235</v>
      </c>
      <c r="O59" s="249">
        <f>I59</f>
        <v>13999235</v>
      </c>
      <c r="P59" s="249">
        <f>J59</f>
        <v>1</v>
      </c>
      <c r="Q59" s="1788">
        <f>SUM(O59/N59)</f>
        <v>1</v>
      </c>
      <c r="R59" s="324">
        <v>0</v>
      </c>
      <c r="S59" s="249">
        <v>0</v>
      </c>
      <c r="T59" s="249">
        <v>0</v>
      </c>
      <c r="U59" s="249">
        <v>0</v>
      </c>
      <c r="V59" s="249"/>
      <c r="W59" s="857"/>
      <c r="X59" s="324">
        <v>0</v>
      </c>
      <c r="Y59" s="249">
        <v>0</v>
      </c>
      <c r="Z59" s="249">
        <v>0</v>
      </c>
      <c r="AA59" s="249">
        <v>0</v>
      </c>
      <c r="AB59" s="249">
        <v>0</v>
      </c>
      <c r="AC59" s="249">
        <v>0</v>
      </c>
      <c r="AD59" s="857">
        <v>0</v>
      </c>
      <c r="AE59" s="931"/>
    </row>
    <row r="60" spans="1:31" ht="21.75" customHeight="1">
      <c r="A60" s="69"/>
      <c r="B60" s="66" t="s">
        <v>47</v>
      </c>
      <c r="C60" s="1834" t="s">
        <v>497</v>
      </c>
      <c r="D60" s="1834"/>
      <c r="E60" s="324">
        <f>'3.sz.m Önk  bev.'!E58</f>
        <v>0</v>
      </c>
      <c r="F60" s="249">
        <f>'3.sz.m Önk  bev.'!F58</f>
        <v>0</v>
      </c>
      <c r="G60" s="249">
        <f>'3.sz.m Önk  bev.'!G58</f>
        <v>0</v>
      </c>
      <c r="H60" s="249">
        <f>'3.sz.m Önk  bev.'!H58</f>
        <v>0</v>
      </c>
      <c r="I60" s="249">
        <f>'3.sz.m Önk  bev.'!I58</f>
        <v>0</v>
      </c>
      <c r="J60" s="249">
        <f>'3.sz.m Önk  bev.'!J58</f>
        <v>0</v>
      </c>
      <c r="K60" s="324">
        <f>'3.sz.m Önk  bev.'!L58</f>
        <v>0</v>
      </c>
      <c r="L60" s="249">
        <f>'3.sz.m Önk  bev.'!M58</f>
        <v>0</v>
      </c>
      <c r="M60" s="249">
        <f>'3.sz.m Önk  bev.'!N58</f>
        <v>0</v>
      </c>
      <c r="N60" s="249">
        <f>'3.sz.m Önk  bev.'!O58</f>
        <v>0</v>
      </c>
      <c r="O60" s="249">
        <f>'3.sz.m Önk  bev.'!P58</f>
        <v>0</v>
      </c>
      <c r="P60" s="249">
        <f>'3.sz.m Önk  bev.'!Q58</f>
        <v>0</v>
      </c>
      <c r="Q60" s="1788"/>
      <c r="R60" s="324">
        <v>0</v>
      </c>
      <c r="S60" s="249">
        <v>0</v>
      </c>
      <c r="T60" s="249">
        <v>0</v>
      </c>
      <c r="U60" s="249">
        <v>0</v>
      </c>
      <c r="V60" s="249"/>
      <c r="W60" s="857"/>
      <c r="X60" s="324">
        <v>0</v>
      </c>
      <c r="Y60" s="249">
        <v>0</v>
      </c>
      <c r="Z60" s="249">
        <v>0</v>
      </c>
      <c r="AA60" s="249">
        <v>0</v>
      </c>
      <c r="AB60" s="249">
        <v>0</v>
      </c>
      <c r="AC60" s="249">
        <v>0</v>
      </c>
      <c r="AD60" s="857">
        <v>0</v>
      </c>
      <c r="AE60" s="931"/>
    </row>
    <row r="61" spans="1:31" ht="21.75" customHeight="1" thickBot="1">
      <c r="A61" s="69"/>
      <c r="B61" s="66" t="s">
        <v>74</v>
      </c>
      <c r="C61" s="1834" t="s">
        <v>318</v>
      </c>
      <c r="D61" s="1834"/>
      <c r="E61" s="324">
        <f>'3.sz.m Önk  bev.'!E59+'5.1 sz. m Köz Hiv'!D26+'5.2 sz. m ÁMK'!D29</f>
        <v>304279553</v>
      </c>
      <c r="F61" s="249">
        <f>'3.sz.m Önk  bev.'!F59+'5.1 sz. m Köz Hiv'!E26+'5.2 sz. m ÁMK'!E29</f>
        <v>304279553</v>
      </c>
      <c r="G61" s="249">
        <f>'3.sz.m Önk  bev.'!G59+'5.1 sz. m Köz Hiv'!F26+'5.2 sz. m ÁMK'!F29</f>
        <v>304279553</v>
      </c>
      <c r="H61" s="249">
        <f>'3.sz.m Önk  bev.'!H59+'5.1 sz. m Köz Hiv'!G26+'5.2 sz. m ÁMK'!G29</f>
        <v>306456765</v>
      </c>
      <c r="I61" s="249">
        <f>'3.sz.m Önk  bev.'!I59+'5.1 sz. m Köz Hiv'!H26+'5.2 sz. m ÁMK'!H29</f>
        <v>306456765</v>
      </c>
      <c r="J61" s="1788">
        <f>SUM(I61/H61)</f>
        <v>1</v>
      </c>
      <c r="K61" s="324">
        <f>'3.sz.m Önk  bev.'!L59+'5.1 sz. m Köz Hiv'!L26+'5.2 sz. m ÁMK'!L29</f>
        <v>288643759</v>
      </c>
      <c r="L61" s="249">
        <f>'3.sz.m Önk  bev.'!M59+'5.1 sz. m Köz Hiv'!M26+'5.2 sz. m ÁMK'!M29</f>
        <v>288643759</v>
      </c>
      <c r="M61" s="249">
        <f>'3.sz.m Önk  bev.'!N59+'5.1 sz. m Köz Hiv'!N26+'5.2 sz. m ÁMK'!N29</f>
        <v>288643759</v>
      </c>
      <c r="N61" s="249">
        <f>'3.sz.m Önk  bev.'!O59+'5.1 sz. m Köz Hiv'!O26+'5.2 sz. m ÁMK'!O29</f>
        <v>290820971</v>
      </c>
      <c r="O61" s="249">
        <f>SUM('3.sz.m Önk  bev.'!P59+'5.1 sz. m Köz Hiv'!Q26+'5.2 sz. m ÁMK'!Q29)</f>
        <v>290820971</v>
      </c>
      <c r="P61" s="249"/>
      <c r="Q61" s="1788">
        <f>SUM(O61/N61)</f>
        <v>1</v>
      </c>
      <c r="R61" s="324">
        <f>+'3.sz.m Önk  bev.'!S59</f>
        <v>15635794</v>
      </c>
      <c r="S61" s="249">
        <f>+'3.sz.m Önk  bev.'!T59</f>
        <v>15635794</v>
      </c>
      <c r="T61" s="249">
        <f>+'3.sz.m Önk  bev.'!U59</f>
        <v>15635794</v>
      </c>
      <c r="U61" s="249">
        <f>+'3.sz.m Önk  bev.'!V59</f>
        <v>15635794</v>
      </c>
      <c r="V61" s="249">
        <f>SUM('3.sz.m Önk  bev.'!W59)</f>
        <v>15635794</v>
      </c>
      <c r="W61" s="1788">
        <f>SUM(U61/T61)</f>
        <v>1</v>
      </c>
      <c r="X61" s="324">
        <v>0</v>
      </c>
      <c r="Y61" s="249">
        <v>0</v>
      </c>
      <c r="Z61" s="249">
        <v>0</v>
      </c>
      <c r="AA61" s="249">
        <v>0</v>
      </c>
      <c r="AB61" s="249">
        <v>0</v>
      </c>
      <c r="AC61" s="249">
        <v>0</v>
      </c>
      <c r="AD61" s="857">
        <v>0</v>
      </c>
      <c r="AE61" s="931"/>
    </row>
    <row r="62" spans="1:31" ht="35.25" customHeight="1" thickBot="1">
      <c r="A62" s="76" t="s">
        <v>57</v>
      </c>
      <c r="B62" s="1840" t="s">
        <v>76</v>
      </c>
      <c r="C62" s="1840"/>
      <c r="D62" s="1840"/>
      <c r="E62" s="313">
        <f aca="true" t="shared" si="28" ref="E62:P62">E57+E58</f>
        <v>926538413</v>
      </c>
      <c r="F62" s="45">
        <f t="shared" si="28"/>
        <v>913086186</v>
      </c>
      <c r="G62" s="45">
        <f>G57+G58</f>
        <v>935101839</v>
      </c>
      <c r="H62" s="45">
        <f>H57+H58</f>
        <v>992603117</v>
      </c>
      <c r="I62" s="45">
        <f t="shared" si="28"/>
        <v>985236426</v>
      </c>
      <c r="J62" s="1785">
        <f>SUM(I62/H62)</f>
        <v>0.9925784123847357</v>
      </c>
      <c r="K62" s="313">
        <f t="shared" si="28"/>
        <v>891222651</v>
      </c>
      <c r="L62" s="45">
        <f>L57+L58</f>
        <v>869810645</v>
      </c>
      <c r="M62" s="45">
        <f>M57+M58</f>
        <v>891826298</v>
      </c>
      <c r="N62" s="45">
        <f>N57+N58</f>
        <v>954002171</v>
      </c>
      <c r="O62" s="45">
        <f t="shared" si="28"/>
        <v>946734263</v>
      </c>
      <c r="P62" s="45">
        <f t="shared" si="28"/>
        <v>1</v>
      </c>
      <c r="Q62" s="665">
        <f>SUM(O62/N62)</f>
        <v>0.9923816651356446</v>
      </c>
      <c r="R62" s="313">
        <f>R57+R58</f>
        <v>35315762</v>
      </c>
      <c r="S62" s="45">
        <f>S57+S58</f>
        <v>43275541</v>
      </c>
      <c r="T62" s="45">
        <f>T57+T58</f>
        <v>43275541</v>
      </c>
      <c r="U62" s="45">
        <f>U57+U58</f>
        <v>38600946</v>
      </c>
      <c r="V62" s="45">
        <f>V57+V58</f>
        <v>38502163</v>
      </c>
      <c r="W62" s="665">
        <f>SUM(U62/T62)</f>
        <v>0.8919806687107621</v>
      </c>
      <c r="X62" s="313">
        <f aca="true" t="shared" si="29" ref="X62:AD62">X57+X58</f>
        <v>0</v>
      </c>
      <c r="Y62" s="45">
        <f>Y57+Y58</f>
        <v>0</v>
      </c>
      <c r="Z62" s="45">
        <f>Z57+Z58</f>
        <v>0</v>
      </c>
      <c r="AA62" s="45">
        <f>AA57+AA58</f>
        <v>0</v>
      </c>
      <c r="AB62" s="45">
        <f t="shared" si="29"/>
        <v>5610894</v>
      </c>
      <c r="AC62" s="45">
        <f t="shared" si="29"/>
        <v>5610894</v>
      </c>
      <c r="AD62" s="736">
        <f t="shared" si="29"/>
        <v>5610894</v>
      </c>
      <c r="AE62" s="931"/>
    </row>
    <row r="63" spans="1:31" ht="21.75" customHeight="1" hidden="1" thickBot="1">
      <c r="A63" s="1825" t="s">
        <v>236</v>
      </c>
      <c r="B63" s="1826"/>
      <c r="C63" s="1826"/>
      <c r="D63" s="1826"/>
      <c r="E63" s="493"/>
      <c r="F63" s="494"/>
      <c r="G63" s="494"/>
      <c r="H63" s="494"/>
      <c r="I63" s="494"/>
      <c r="J63" s="1785" t="e">
        <f>SUM(I63/H63)</f>
        <v>#DIV/0!</v>
      </c>
      <c r="K63" s="493"/>
      <c r="L63" s="494"/>
      <c r="M63" s="494"/>
      <c r="N63" s="494"/>
      <c r="O63" s="494"/>
      <c r="P63" s="494"/>
      <c r="Q63" s="499"/>
      <c r="R63" s="493"/>
      <c r="S63" s="494"/>
      <c r="T63" s="494"/>
      <c r="U63" s="494"/>
      <c r="V63" s="494"/>
      <c r="W63" s="665" t="e">
        <f>SUM(U63/T63)</f>
        <v>#DIV/0!</v>
      </c>
      <c r="X63" s="493"/>
      <c r="Y63" s="494"/>
      <c r="Z63" s="494"/>
      <c r="AA63" s="494"/>
      <c r="AB63" s="494"/>
      <c r="AC63" s="494"/>
      <c r="AD63" s="812"/>
      <c r="AE63" s="931"/>
    </row>
    <row r="64" spans="1:31" ht="21.75" customHeight="1" thickBot="1">
      <c r="A64" s="1839" t="s">
        <v>6</v>
      </c>
      <c r="B64" s="1840"/>
      <c r="C64" s="1840"/>
      <c r="D64" s="1840"/>
      <c r="E64" s="349">
        <f aca="true" t="shared" si="30" ref="E64:P64">E62+E63</f>
        <v>926538413</v>
      </c>
      <c r="F64" s="350">
        <f t="shared" si="30"/>
        <v>913086186</v>
      </c>
      <c r="G64" s="350">
        <f t="shared" si="30"/>
        <v>935101839</v>
      </c>
      <c r="H64" s="350">
        <f>H62+H63</f>
        <v>992603117</v>
      </c>
      <c r="I64" s="1751">
        <f t="shared" si="30"/>
        <v>985236426</v>
      </c>
      <c r="J64" s="1785">
        <f>SUM(I64/H64)</f>
        <v>0.9925784123847357</v>
      </c>
      <c r="K64" s="349">
        <f t="shared" si="30"/>
        <v>891222651</v>
      </c>
      <c r="L64" s="350">
        <f>L62+L63</f>
        <v>869810645</v>
      </c>
      <c r="M64" s="350">
        <f>M62+M63</f>
        <v>891826298</v>
      </c>
      <c r="N64" s="350">
        <f>N62+N63</f>
        <v>954002171</v>
      </c>
      <c r="O64" s="1747">
        <f t="shared" si="30"/>
        <v>946734263</v>
      </c>
      <c r="P64" s="350">
        <f t="shared" si="30"/>
        <v>1</v>
      </c>
      <c r="Q64" s="665">
        <f>SUM(O64/N64)</f>
        <v>0.9923816651356446</v>
      </c>
      <c r="R64" s="349">
        <f>R62+R63</f>
        <v>35315762</v>
      </c>
      <c r="S64" s="350">
        <f>S62+S63</f>
        <v>43275541</v>
      </c>
      <c r="T64" s="350">
        <f>T62+T63</f>
        <v>43275541</v>
      </c>
      <c r="U64" s="350">
        <f>U62+U63</f>
        <v>38600946</v>
      </c>
      <c r="V64" s="1747">
        <f>V62+V63</f>
        <v>38502163</v>
      </c>
      <c r="W64" s="665">
        <f>SUM(U64/T64)</f>
        <v>0.8919806687107621</v>
      </c>
      <c r="X64" s="349">
        <f aca="true" t="shared" si="31" ref="X64:AD64">X62+X63</f>
        <v>0</v>
      </c>
      <c r="Y64" s="350">
        <f>Y62+Y63</f>
        <v>0</v>
      </c>
      <c r="Z64" s="350">
        <f>Z62+Z63</f>
        <v>0</v>
      </c>
      <c r="AA64" s="350">
        <f>AA62+AA63</f>
        <v>0</v>
      </c>
      <c r="AB64" s="350">
        <f t="shared" si="31"/>
        <v>5610894</v>
      </c>
      <c r="AC64" s="350">
        <f t="shared" si="31"/>
        <v>5610894</v>
      </c>
      <c r="AD64" s="813">
        <f t="shared" si="31"/>
        <v>5610894</v>
      </c>
      <c r="AE64" s="931"/>
    </row>
    <row r="65" spans="1:23" ht="21.75" customHeight="1">
      <c r="A65" s="496"/>
      <c r="B65" s="497"/>
      <c r="C65" s="497"/>
      <c r="D65" s="497"/>
      <c r="E65" s="835" t="str">
        <f>IF(K64+R64=E64," ","HIBA-nincs egyenlőség")</f>
        <v> </v>
      </c>
      <c r="F65" s="498"/>
      <c r="G65" s="498"/>
      <c r="H65" s="498"/>
      <c r="I65" s="803"/>
      <c r="J65" s="498"/>
      <c r="K65" s="498"/>
      <c r="L65" s="498"/>
      <c r="M65" s="803"/>
      <c r="N65" s="803"/>
      <c r="O65" s="803"/>
      <c r="P65" s="498"/>
      <c r="Q65" s="498"/>
      <c r="R65" s="498"/>
      <c r="S65" s="498"/>
      <c r="T65" s="498"/>
      <c r="U65" s="498"/>
      <c r="V65" s="498"/>
      <c r="W65" s="498"/>
    </row>
    <row r="66" spans="1:21" ht="21.75" customHeight="1">
      <c r="A66" s="55"/>
      <c r="B66" s="102"/>
      <c r="C66" s="102"/>
      <c r="D66" s="102"/>
      <c r="E66" s="280"/>
      <c r="F66" s="281"/>
      <c r="G66" s="280"/>
      <c r="H66" s="280"/>
      <c r="I66" s="280"/>
      <c r="J66" s="280"/>
      <c r="K66" s="281"/>
      <c r="S66" s="281"/>
      <c r="T66" s="281"/>
      <c r="U66" s="281"/>
    </row>
    <row r="67" spans="1:21" ht="35.25" customHeight="1">
      <c r="A67" s="55"/>
      <c r="B67" s="102"/>
      <c r="C67" s="102"/>
      <c r="D67" s="102"/>
      <c r="E67" s="281"/>
      <c r="F67" s="281"/>
      <c r="G67" s="281"/>
      <c r="H67" s="281"/>
      <c r="I67" s="280"/>
      <c r="J67" s="281"/>
      <c r="K67" s="281"/>
      <c r="M67" s="281"/>
      <c r="N67" s="281"/>
      <c r="O67" s="281"/>
      <c r="P67" s="281"/>
      <c r="Q67" s="281"/>
      <c r="S67" s="281"/>
      <c r="T67" s="281"/>
      <c r="U67" s="281"/>
    </row>
    <row r="68" spans="1:21" ht="35.25" customHeight="1">
      <c r="A68" s="55"/>
      <c r="B68" s="102"/>
      <c r="C68" s="102"/>
      <c r="D68" s="102"/>
      <c r="E68" s="281"/>
      <c r="F68" s="281"/>
      <c r="G68" s="281"/>
      <c r="H68" s="281"/>
      <c r="I68" s="280"/>
      <c r="J68" s="281"/>
      <c r="K68" s="281"/>
      <c r="L68" s="281"/>
      <c r="N68" s="281"/>
      <c r="O68" s="281"/>
      <c r="P68" s="281"/>
      <c r="Q68" s="281"/>
      <c r="S68" s="281"/>
      <c r="T68" s="281"/>
      <c r="U68" s="281"/>
    </row>
    <row r="69" spans="5:21" ht="12.75">
      <c r="E69" s="281"/>
      <c r="F69" s="281"/>
      <c r="G69" s="281"/>
      <c r="H69" s="281"/>
      <c r="I69" s="281"/>
      <c r="J69" s="281"/>
      <c r="K69" s="281"/>
      <c r="L69" s="281"/>
      <c r="N69" s="281"/>
      <c r="O69" s="281"/>
      <c r="P69" s="281"/>
      <c r="Q69" s="281"/>
      <c r="S69" s="281"/>
      <c r="T69" s="281"/>
      <c r="U69" s="281"/>
    </row>
    <row r="70" spans="5:21" ht="12.75"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S70" s="281"/>
      <c r="T70" s="281"/>
      <c r="U70" s="281"/>
    </row>
    <row r="71" spans="5:21" ht="12.75"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S71" s="281"/>
      <c r="T71" s="281"/>
      <c r="U71" s="281"/>
    </row>
    <row r="72" spans="4:21" ht="12.75">
      <c r="D72" s="63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S72" s="281"/>
      <c r="T72" s="281"/>
      <c r="U72" s="281"/>
    </row>
    <row r="73" spans="4:21" ht="48.75" customHeight="1">
      <c r="D73" s="63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S73" s="281"/>
      <c r="T73" s="281"/>
      <c r="U73" s="281"/>
    </row>
    <row r="74" spans="4:21" ht="46.5" customHeight="1">
      <c r="D74" s="63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S74" s="281"/>
      <c r="T74" s="281"/>
      <c r="U74" s="281"/>
    </row>
    <row r="75" spans="5:21" ht="41.25" customHeight="1"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S75" s="281"/>
      <c r="T75" s="281"/>
      <c r="U75" s="281"/>
    </row>
    <row r="76" spans="5:21" ht="12.75"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S76" s="281"/>
      <c r="T76" s="281"/>
      <c r="U76" s="281"/>
    </row>
    <row r="77" spans="5:21" ht="12.75"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S77" s="281"/>
      <c r="T77" s="281"/>
      <c r="U77" s="281"/>
    </row>
    <row r="78" spans="5:21" ht="12.75"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S78" s="281"/>
      <c r="T78" s="281"/>
      <c r="U78" s="281"/>
    </row>
    <row r="79" spans="5:21" ht="12.75"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S79" s="281"/>
      <c r="T79" s="281"/>
      <c r="U79" s="281"/>
    </row>
    <row r="80" spans="5:21" ht="12.75"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S80" s="281"/>
      <c r="T80" s="281"/>
      <c r="U80" s="281"/>
    </row>
    <row r="81" spans="5:21" ht="12.75"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S81" s="281"/>
      <c r="T81" s="281"/>
      <c r="U81" s="281"/>
    </row>
    <row r="82" spans="5:21" ht="12.75"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S82" s="281"/>
      <c r="T82" s="281"/>
      <c r="U82" s="281"/>
    </row>
    <row r="83" spans="5:21" ht="12.75"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S83" s="281"/>
      <c r="T83" s="281"/>
      <c r="U83" s="281"/>
    </row>
    <row r="84" spans="5:21" ht="12.75"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S84" s="281"/>
      <c r="T84" s="281"/>
      <c r="U84" s="281"/>
    </row>
    <row r="85" spans="5:21" ht="12.75"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S85" s="281"/>
      <c r="T85" s="281"/>
      <c r="U85" s="281"/>
    </row>
    <row r="86" spans="5:21" ht="12.75"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S86" s="281"/>
      <c r="T86" s="281"/>
      <c r="U86" s="281"/>
    </row>
    <row r="87" spans="5:21" ht="12.75"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S87" s="281"/>
      <c r="T87" s="281"/>
      <c r="U87" s="281"/>
    </row>
    <row r="88" spans="5:21" ht="12.75"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S88" s="281"/>
      <c r="T88" s="281"/>
      <c r="U88" s="281"/>
    </row>
    <row r="89" spans="5:21" ht="12.75"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S89" s="281"/>
      <c r="T89" s="281"/>
      <c r="U89" s="281"/>
    </row>
    <row r="90" spans="5:21" ht="12.75"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S90" s="281"/>
      <c r="T90" s="281"/>
      <c r="U90" s="281"/>
    </row>
    <row r="91" spans="5:21" ht="12.75"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S91" s="281"/>
      <c r="T91" s="281"/>
      <c r="U91" s="281"/>
    </row>
    <row r="92" spans="5:21" ht="12.75"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S92" s="281"/>
      <c r="T92" s="281"/>
      <c r="U92" s="281"/>
    </row>
    <row r="93" spans="5:21" ht="12.75"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S93" s="281"/>
      <c r="T93" s="281"/>
      <c r="U93" s="281"/>
    </row>
    <row r="94" spans="5:21" ht="12.75"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S94" s="281"/>
      <c r="T94" s="281"/>
      <c r="U94" s="281"/>
    </row>
    <row r="95" spans="5:21" ht="12.75"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S95" s="281"/>
      <c r="T95" s="281"/>
      <c r="U95" s="281"/>
    </row>
    <row r="96" spans="5:21" ht="12.75"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S96" s="281"/>
      <c r="T96" s="281"/>
      <c r="U96" s="281"/>
    </row>
    <row r="97" spans="5:21" ht="12.75"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S97" s="281"/>
      <c r="T97" s="281"/>
      <c r="U97" s="281"/>
    </row>
    <row r="98" spans="5:21" ht="12.75"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S98" s="281"/>
      <c r="T98" s="281"/>
      <c r="U98" s="281"/>
    </row>
    <row r="99" spans="5:21" ht="12.75"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S99" s="281"/>
      <c r="T99" s="281"/>
      <c r="U99" s="281"/>
    </row>
    <row r="100" spans="5:21" ht="12.75"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S100" s="281"/>
      <c r="T100" s="281"/>
      <c r="U100" s="281"/>
    </row>
    <row r="101" spans="5:21" ht="12.75"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S101" s="281"/>
      <c r="T101" s="281"/>
      <c r="U101" s="281"/>
    </row>
    <row r="102" spans="5:21" ht="12.75"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S102" s="281"/>
      <c r="T102" s="281"/>
      <c r="U102" s="281"/>
    </row>
    <row r="103" spans="5:21" ht="12.75"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S103" s="281"/>
      <c r="T103" s="281"/>
      <c r="U103" s="281"/>
    </row>
    <row r="104" spans="5:21" ht="12.75"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S104" s="281"/>
      <c r="T104" s="281"/>
      <c r="U104" s="281"/>
    </row>
    <row r="105" spans="5:21" ht="12.75"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S105" s="281"/>
      <c r="T105" s="281"/>
      <c r="U105" s="281"/>
    </row>
    <row r="106" spans="5:21" ht="12.75"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S106" s="281"/>
      <c r="T106" s="281"/>
      <c r="U106" s="281"/>
    </row>
    <row r="107" spans="5:21" ht="12.75"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S107" s="281"/>
      <c r="T107" s="281"/>
      <c r="U107" s="281"/>
    </row>
    <row r="108" spans="5:21" ht="12.75"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S108" s="281"/>
      <c r="T108" s="281"/>
      <c r="U108" s="281"/>
    </row>
    <row r="109" spans="5:21" ht="12.75"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S109" s="281"/>
      <c r="T109" s="281"/>
      <c r="U109" s="281"/>
    </row>
    <row r="110" spans="5:21" ht="12.75"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S110" s="281"/>
      <c r="T110" s="281"/>
      <c r="U110" s="281"/>
    </row>
    <row r="111" spans="5:21" ht="12.75"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S111" s="281"/>
      <c r="T111" s="281"/>
      <c r="U111" s="281"/>
    </row>
    <row r="112" spans="5:21" ht="12.75"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S112" s="281"/>
      <c r="T112" s="281"/>
      <c r="U112" s="281"/>
    </row>
    <row r="113" spans="5:21" ht="12.75"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S113" s="281"/>
      <c r="T113" s="281"/>
      <c r="U113" s="281"/>
    </row>
  </sheetData>
  <sheetProtection/>
  <mergeCells count="49">
    <mergeCell ref="A2:R2"/>
    <mergeCell ref="A4:C4"/>
    <mergeCell ref="B6:D6"/>
    <mergeCell ref="B7:D7"/>
    <mergeCell ref="E4:J4"/>
    <mergeCell ref="K4:Q4"/>
    <mergeCell ref="C13:D13"/>
    <mergeCell ref="C32:D32"/>
    <mergeCell ref="C16:D16"/>
    <mergeCell ref="R4:W4"/>
    <mergeCell ref="C25:D25"/>
    <mergeCell ref="C17:D17"/>
    <mergeCell ref="C20:D20"/>
    <mergeCell ref="C24:D24"/>
    <mergeCell ref="A64:D64"/>
    <mergeCell ref="B62:D62"/>
    <mergeCell ref="C61:D61"/>
    <mergeCell ref="C52:D52"/>
    <mergeCell ref="B57:D57"/>
    <mergeCell ref="C60:D60"/>
    <mergeCell ref="C59:D59"/>
    <mergeCell ref="O1:AB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X4:AD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C37:D37"/>
    <mergeCell ref="C35:D35"/>
    <mergeCell ref="C33:D33"/>
    <mergeCell ref="A63:D63"/>
    <mergeCell ref="C50:D50"/>
    <mergeCell ref="B58:D58"/>
    <mergeCell ref="B34:D34"/>
    <mergeCell ref="B43:D4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48"/>
  <sheetViews>
    <sheetView view="pageBreakPreview" zoomScale="60" workbookViewId="0" topLeftCell="A1">
      <pane ySplit="7" topLeftCell="A8" activePane="bottomLeft" state="frozen"/>
      <selection pane="topLeft" activeCell="A1" sqref="A1"/>
      <selection pane="bottomLeft" activeCell="X5" sqref="X5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34.7109375" style="9" customWidth="1"/>
    <col min="4" max="4" width="14.28125" style="565" customWidth="1"/>
    <col min="5" max="6" width="15.28125" style="565" hidden="1" customWidth="1"/>
    <col min="7" max="7" width="15.7109375" style="565" customWidth="1"/>
    <col min="8" max="8" width="16.140625" style="565" hidden="1" customWidth="1"/>
    <col min="9" max="9" width="15.57421875" style="565" customWidth="1"/>
    <col min="10" max="10" width="9.7109375" style="565" customWidth="1"/>
    <col min="11" max="11" width="14.140625" style="566" customWidth="1"/>
    <col min="12" max="12" width="13.8515625" style="566" hidden="1" customWidth="1"/>
    <col min="13" max="13" width="15.421875" style="566" hidden="1" customWidth="1"/>
    <col min="14" max="14" width="16.57421875" style="566" customWidth="1"/>
    <col min="15" max="15" width="12.7109375" style="566" hidden="1" customWidth="1"/>
    <col min="16" max="16" width="13.7109375" style="566" customWidth="1"/>
    <col min="17" max="17" width="10.421875" style="566" customWidth="1"/>
    <col min="18" max="18" width="13.00390625" style="566" customWidth="1"/>
    <col min="19" max="19" width="13.7109375" style="566" hidden="1" customWidth="1"/>
    <col min="20" max="20" width="12.421875" style="9" hidden="1" customWidth="1"/>
    <col min="21" max="21" width="18.421875" style="9" customWidth="1"/>
    <col min="22" max="22" width="18.421875" style="9" hidden="1" customWidth="1"/>
    <col min="23" max="23" width="18.421875" style="9" customWidth="1"/>
    <col min="24" max="24" width="15.28125" style="9" customWidth="1"/>
    <col min="25" max="26" width="18.421875" style="9" customWidth="1"/>
    <col min="27" max="16384" width="9.140625" style="9" customWidth="1"/>
  </cols>
  <sheetData>
    <row r="1" spans="4:23" ht="12.75">
      <c r="D1" s="560"/>
      <c r="E1" s="560"/>
      <c r="F1" s="560"/>
      <c r="G1" s="560"/>
      <c r="H1" s="560"/>
      <c r="I1" s="560"/>
      <c r="J1" s="560"/>
      <c r="K1" s="1952" t="s">
        <v>1021</v>
      </c>
      <c r="L1" s="1952"/>
      <c r="M1" s="1952"/>
      <c r="N1" s="1952"/>
      <c r="O1" s="1952"/>
      <c r="P1" s="1952"/>
      <c r="Q1" s="1952"/>
      <c r="R1" s="1952"/>
      <c r="S1" s="1952"/>
      <c r="T1" s="1952"/>
      <c r="U1" s="1952"/>
      <c r="V1" s="1952"/>
      <c r="W1" s="1952"/>
    </row>
    <row r="2" spans="1:19" ht="16.5" customHeight="1">
      <c r="A2" s="1953" t="s">
        <v>349</v>
      </c>
      <c r="B2" s="1953"/>
      <c r="C2" s="1953"/>
      <c r="D2" s="1953"/>
      <c r="E2" s="1953"/>
      <c r="F2" s="1953"/>
      <c r="G2" s="1953"/>
      <c r="H2" s="1953"/>
      <c r="I2" s="1953"/>
      <c r="J2" s="1953"/>
      <c r="K2" s="1953"/>
      <c r="L2" s="1953"/>
      <c r="M2" s="1953"/>
      <c r="N2" s="1953"/>
      <c r="O2" s="1953"/>
      <c r="P2" s="1953"/>
      <c r="Q2" s="1953"/>
      <c r="R2" s="1953"/>
      <c r="S2" s="561"/>
    </row>
    <row r="3" spans="1:19" ht="15" customHeight="1">
      <c r="A3" s="1954" t="s">
        <v>594</v>
      </c>
      <c r="B3" s="1954"/>
      <c r="C3" s="1954"/>
      <c r="D3" s="1954"/>
      <c r="E3" s="1954"/>
      <c r="F3" s="1954"/>
      <c r="G3" s="1954"/>
      <c r="H3" s="1954"/>
      <c r="I3" s="1954"/>
      <c r="J3" s="1954"/>
      <c r="K3" s="1954"/>
      <c r="L3" s="1954"/>
      <c r="M3" s="1954"/>
      <c r="N3" s="1954"/>
      <c r="O3" s="1954"/>
      <c r="P3" s="1954"/>
      <c r="Q3" s="1954"/>
      <c r="R3" s="1954"/>
      <c r="S3" s="562"/>
    </row>
    <row r="4" spans="1:19" ht="15" customHeight="1">
      <c r="A4" s="1955" t="s">
        <v>350</v>
      </c>
      <c r="B4" s="1955"/>
      <c r="C4" s="1955"/>
      <c r="D4" s="1955"/>
      <c r="E4" s="1955"/>
      <c r="F4" s="1955"/>
      <c r="G4" s="1955"/>
      <c r="H4" s="1955"/>
      <c r="I4" s="1955"/>
      <c r="J4" s="1955"/>
      <c r="K4" s="1955"/>
      <c r="L4" s="1955"/>
      <c r="M4" s="1955"/>
      <c r="N4" s="1955"/>
      <c r="O4" s="1955"/>
      <c r="P4" s="1955"/>
      <c r="Q4" s="1955"/>
      <c r="R4" s="1955"/>
      <c r="S4" s="563"/>
    </row>
    <row r="5" spans="2:23" ht="13.5" thickBot="1">
      <c r="B5" s="564"/>
      <c r="C5" s="564"/>
      <c r="R5" s="1957" t="s">
        <v>472</v>
      </c>
      <c r="S5" s="1957"/>
      <c r="T5" s="1957"/>
      <c r="U5" s="1957"/>
      <c r="V5" s="1957"/>
      <c r="W5" s="1957"/>
    </row>
    <row r="6" spans="1:25" s="569" customFormat="1" ht="41.25" customHeight="1" thickBot="1">
      <c r="A6" s="567" t="s">
        <v>5</v>
      </c>
      <c r="B6" s="1956" t="s">
        <v>3</v>
      </c>
      <c r="C6" s="1956"/>
      <c r="D6" s="1948" t="s">
        <v>4</v>
      </c>
      <c r="E6" s="1949"/>
      <c r="F6" s="1949"/>
      <c r="G6" s="1949"/>
      <c r="H6" s="1949"/>
      <c r="I6" s="1949"/>
      <c r="J6" s="1950"/>
      <c r="K6" s="1948" t="s">
        <v>351</v>
      </c>
      <c r="L6" s="1949"/>
      <c r="M6" s="1949"/>
      <c r="N6" s="1949"/>
      <c r="O6" s="1949"/>
      <c r="P6" s="1949"/>
      <c r="Q6" s="1950"/>
      <c r="R6" s="1948" t="s">
        <v>352</v>
      </c>
      <c r="S6" s="1949"/>
      <c r="T6" s="1949"/>
      <c r="U6" s="1949"/>
      <c r="V6" s="1949"/>
      <c r="W6" s="1949"/>
      <c r="X6" s="1950"/>
      <c r="Y6" s="568"/>
    </row>
    <row r="7" spans="1:24" s="569" customFormat="1" ht="41.25" customHeight="1" thickBot="1">
      <c r="A7" s="34"/>
      <c r="B7" s="570"/>
      <c r="C7" s="570"/>
      <c r="D7" s="571" t="s">
        <v>64</v>
      </c>
      <c r="E7" s="572" t="s">
        <v>220</v>
      </c>
      <c r="F7" s="572" t="s">
        <v>223</v>
      </c>
      <c r="G7" s="572" t="s">
        <v>225</v>
      </c>
      <c r="H7" s="572" t="s">
        <v>237</v>
      </c>
      <c r="I7" s="572" t="s">
        <v>228</v>
      </c>
      <c r="J7" s="573" t="s">
        <v>337</v>
      </c>
      <c r="K7" s="571" t="s">
        <v>64</v>
      </c>
      <c r="L7" s="572" t="s">
        <v>220</v>
      </c>
      <c r="M7" s="572" t="s">
        <v>223</v>
      </c>
      <c r="N7" s="572" t="s">
        <v>225</v>
      </c>
      <c r="O7" s="572" t="s">
        <v>237</v>
      </c>
      <c r="P7" s="572" t="s">
        <v>228</v>
      </c>
      <c r="Q7" s="573" t="s">
        <v>337</v>
      </c>
      <c r="R7" s="571" t="s">
        <v>64</v>
      </c>
      <c r="S7" s="572" t="s">
        <v>220</v>
      </c>
      <c r="T7" s="572" t="s">
        <v>223</v>
      </c>
      <c r="U7" s="572" t="s">
        <v>225</v>
      </c>
      <c r="V7" s="572" t="s">
        <v>237</v>
      </c>
      <c r="W7" s="572" t="s">
        <v>228</v>
      </c>
      <c r="X7" s="573" t="s">
        <v>337</v>
      </c>
    </row>
    <row r="8" spans="1:24" ht="27.75" customHeight="1">
      <c r="A8" s="35">
        <v>1</v>
      </c>
      <c r="B8" s="1951" t="s">
        <v>353</v>
      </c>
      <c r="C8" s="1951"/>
      <c r="D8" s="574">
        <v>658000</v>
      </c>
      <c r="E8" s="575">
        <v>658000</v>
      </c>
      <c r="F8" s="575">
        <v>658000</v>
      </c>
      <c r="G8" s="575">
        <v>658000</v>
      </c>
      <c r="H8" s="575"/>
      <c r="I8" s="575">
        <v>0</v>
      </c>
      <c r="J8" s="1653">
        <f>SUM(I8/G8)</f>
        <v>0</v>
      </c>
      <c r="K8" s="574">
        <v>658000</v>
      </c>
      <c r="L8" s="575">
        <v>658000</v>
      </c>
      <c r="M8" s="575">
        <v>658000</v>
      </c>
      <c r="N8" s="575">
        <v>658000</v>
      </c>
      <c r="O8" s="575"/>
      <c r="P8" s="575">
        <v>0</v>
      </c>
      <c r="Q8" s="1653">
        <f>SUM(P8/N8)</f>
        <v>0</v>
      </c>
      <c r="R8" s="574"/>
      <c r="S8" s="575"/>
      <c r="T8" s="575"/>
      <c r="U8" s="575"/>
      <c r="V8" s="575"/>
      <c r="W8" s="575"/>
      <c r="X8" s="577"/>
    </row>
    <row r="9" spans="1:24" ht="27.75" customHeight="1">
      <c r="A9" s="35">
        <v>2</v>
      </c>
      <c r="B9" s="1944" t="s">
        <v>486</v>
      </c>
      <c r="C9" s="1944"/>
      <c r="D9" s="579">
        <v>147634</v>
      </c>
      <c r="E9" s="580">
        <v>147634</v>
      </c>
      <c r="F9" s="580">
        <v>147634</v>
      </c>
      <c r="G9" s="580">
        <v>147634</v>
      </c>
      <c r="H9" s="580"/>
      <c r="I9" s="580">
        <v>0</v>
      </c>
      <c r="J9" s="581">
        <f aca="true" t="shared" si="0" ref="J9:J40">SUM(I9/G9)</f>
        <v>0</v>
      </c>
      <c r="K9" s="579">
        <v>147634</v>
      </c>
      <c r="L9" s="580">
        <v>147634</v>
      </c>
      <c r="M9" s="580">
        <v>147634</v>
      </c>
      <c r="N9" s="580">
        <v>147634</v>
      </c>
      <c r="O9" s="580"/>
      <c r="P9" s="580">
        <v>0</v>
      </c>
      <c r="Q9" s="581">
        <f>SUM(P9/N9)</f>
        <v>0</v>
      </c>
      <c r="R9" s="579"/>
      <c r="S9" s="580"/>
      <c r="T9" s="580"/>
      <c r="U9" s="580"/>
      <c r="V9" s="580"/>
      <c r="W9" s="580"/>
      <c r="X9" s="582"/>
    </row>
    <row r="10" spans="1:24" ht="27.75" customHeight="1">
      <c r="A10" s="35">
        <v>3</v>
      </c>
      <c r="B10" s="1944" t="s">
        <v>354</v>
      </c>
      <c r="C10" s="1944"/>
      <c r="D10" s="579">
        <v>2000000</v>
      </c>
      <c r="E10" s="580">
        <v>2000000</v>
      </c>
      <c r="F10" s="580">
        <v>2000000</v>
      </c>
      <c r="G10" s="580">
        <v>2000000</v>
      </c>
      <c r="H10" s="580"/>
      <c r="I10" s="580">
        <v>1162003</v>
      </c>
      <c r="J10" s="581">
        <f t="shared" si="0"/>
        <v>0.5810015</v>
      </c>
      <c r="K10" s="579">
        <v>2000000</v>
      </c>
      <c r="L10" s="580">
        <v>2000000</v>
      </c>
      <c r="M10" s="580">
        <v>2000000</v>
      </c>
      <c r="N10" s="580">
        <v>2000000</v>
      </c>
      <c r="O10" s="580"/>
      <c r="P10" s="580">
        <v>1162003</v>
      </c>
      <c r="Q10" s="581">
        <f aca="true" t="shared" si="1" ref="Q10:Q42">SUM(P10/N10)</f>
        <v>0.5810015</v>
      </c>
      <c r="R10" s="579"/>
      <c r="S10" s="580"/>
      <c r="T10" s="580"/>
      <c r="U10" s="580"/>
      <c r="V10" s="580"/>
      <c r="W10" s="580"/>
      <c r="X10" s="582"/>
    </row>
    <row r="11" spans="1:24" ht="27.75" customHeight="1">
      <c r="A11" s="35">
        <v>4</v>
      </c>
      <c r="B11" s="1944" t="s">
        <v>355</v>
      </c>
      <c r="C11" s="1944"/>
      <c r="D11" s="579">
        <v>1166177</v>
      </c>
      <c r="E11" s="580">
        <v>1166177</v>
      </c>
      <c r="F11" s="580">
        <v>1166177</v>
      </c>
      <c r="G11" s="580">
        <v>1166177</v>
      </c>
      <c r="H11" s="580"/>
      <c r="I11" s="580">
        <v>626865</v>
      </c>
      <c r="J11" s="581">
        <f t="shared" si="0"/>
        <v>0.5375384697177187</v>
      </c>
      <c r="K11" s="579"/>
      <c r="L11" s="580"/>
      <c r="M11" s="580"/>
      <c r="N11" s="580"/>
      <c r="O11" s="580"/>
      <c r="P11" s="580"/>
      <c r="Q11" s="581"/>
      <c r="R11" s="579">
        <v>1166177</v>
      </c>
      <c r="S11" s="580">
        <v>1166177</v>
      </c>
      <c r="T11" s="580">
        <v>1166177</v>
      </c>
      <c r="U11" s="580">
        <v>1166177</v>
      </c>
      <c r="V11" s="580"/>
      <c r="W11" s="580">
        <v>626865</v>
      </c>
      <c r="X11" s="581">
        <f>W11/U11</f>
        <v>0.5375384697177187</v>
      </c>
    </row>
    <row r="12" spans="1:24" ht="27.75" customHeight="1">
      <c r="A12" s="35">
        <v>5</v>
      </c>
      <c r="B12" s="1944" t="s">
        <v>356</v>
      </c>
      <c r="C12" s="1944"/>
      <c r="D12" s="579">
        <v>7201677</v>
      </c>
      <c r="E12" s="580">
        <v>7201677</v>
      </c>
      <c r="F12" s="580">
        <v>7201677</v>
      </c>
      <c r="G12" s="580">
        <v>7806883</v>
      </c>
      <c r="H12" s="580"/>
      <c r="I12" s="580">
        <v>7806883</v>
      </c>
      <c r="J12" s="581">
        <f t="shared" si="0"/>
        <v>1</v>
      </c>
      <c r="K12" s="579">
        <v>7201677</v>
      </c>
      <c r="L12" s="580">
        <v>7201677</v>
      </c>
      <c r="M12" s="580">
        <v>7201677</v>
      </c>
      <c r="N12" s="580">
        <v>7806883</v>
      </c>
      <c r="O12" s="580"/>
      <c r="P12" s="580">
        <v>7806883</v>
      </c>
      <c r="Q12" s="581">
        <f t="shared" si="1"/>
        <v>1</v>
      </c>
      <c r="R12" s="579"/>
      <c r="S12" s="580"/>
      <c r="T12" s="580"/>
      <c r="U12" s="580"/>
      <c r="V12" s="580"/>
      <c r="W12" s="580"/>
      <c r="X12" s="582"/>
    </row>
    <row r="13" spans="1:24" ht="27.75" customHeight="1">
      <c r="A13" s="35">
        <v>6</v>
      </c>
      <c r="B13" s="1944" t="s">
        <v>357</v>
      </c>
      <c r="C13" s="1944"/>
      <c r="D13" s="579">
        <v>32702978</v>
      </c>
      <c r="E13" s="580">
        <v>29012778</v>
      </c>
      <c r="F13" s="580">
        <v>29265481</v>
      </c>
      <c r="G13" s="580">
        <v>156364528</v>
      </c>
      <c r="H13" s="580"/>
      <c r="I13" s="580">
        <v>23542249</v>
      </c>
      <c r="J13" s="581">
        <f t="shared" si="0"/>
        <v>0.15056003622509576</v>
      </c>
      <c r="K13" s="579">
        <v>32702978</v>
      </c>
      <c r="L13" s="580">
        <v>29012778</v>
      </c>
      <c r="M13" s="580">
        <v>29265481</v>
      </c>
      <c r="N13" s="580">
        <v>156364528</v>
      </c>
      <c r="O13" s="580"/>
      <c r="P13" s="580">
        <v>23542249</v>
      </c>
      <c r="Q13" s="581">
        <f t="shared" si="1"/>
        <v>0.15056003622509576</v>
      </c>
      <c r="R13" s="579"/>
      <c r="S13" s="580"/>
      <c r="T13" s="580"/>
      <c r="U13" s="580"/>
      <c r="V13" s="580"/>
      <c r="W13" s="580"/>
      <c r="X13" s="582"/>
    </row>
    <row r="14" spans="1:24" ht="27.75" customHeight="1">
      <c r="A14" s="35">
        <v>7</v>
      </c>
      <c r="B14" s="578" t="s">
        <v>614</v>
      </c>
      <c r="C14" s="578"/>
      <c r="D14" s="579">
        <v>48252</v>
      </c>
      <c r="E14" s="580">
        <v>48252</v>
      </c>
      <c r="F14" s="580">
        <v>48252</v>
      </c>
      <c r="G14" s="580">
        <v>48252</v>
      </c>
      <c r="H14" s="580"/>
      <c r="I14" s="580">
        <v>48252</v>
      </c>
      <c r="J14" s="581">
        <f t="shared" si="0"/>
        <v>1</v>
      </c>
      <c r="K14" s="579">
        <v>48252</v>
      </c>
      <c r="L14" s="580">
        <v>48252</v>
      </c>
      <c r="M14" s="580">
        <v>48252</v>
      </c>
      <c r="N14" s="580">
        <v>48252</v>
      </c>
      <c r="O14" s="580"/>
      <c r="P14" s="580">
        <v>48252</v>
      </c>
      <c r="Q14" s="581">
        <f t="shared" si="1"/>
        <v>1</v>
      </c>
      <c r="R14" s="579"/>
      <c r="S14" s="580"/>
      <c r="T14" s="580"/>
      <c r="U14" s="580"/>
      <c r="V14" s="580"/>
      <c r="W14" s="580"/>
      <c r="X14" s="582"/>
    </row>
    <row r="15" spans="1:24" ht="27.75" customHeight="1">
      <c r="A15" s="35">
        <v>8</v>
      </c>
      <c r="B15" s="1944" t="s">
        <v>358</v>
      </c>
      <c r="C15" s="1944"/>
      <c r="D15" s="579">
        <v>2205140</v>
      </c>
      <c r="E15" s="580">
        <v>2205140</v>
      </c>
      <c r="F15" s="580">
        <v>2205140</v>
      </c>
      <c r="G15" s="580">
        <v>2205140</v>
      </c>
      <c r="H15" s="580"/>
      <c r="I15" s="580">
        <v>957485</v>
      </c>
      <c r="J15" s="581">
        <f t="shared" si="0"/>
        <v>0.43420599145632477</v>
      </c>
      <c r="K15" s="579">
        <v>2205140</v>
      </c>
      <c r="L15" s="580">
        <v>2205140</v>
      </c>
      <c r="M15" s="580">
        <v>2205140</v>
      </c>
      <c r="N15" s="580">
        <v>2205140</v>
      </c>
      <c r="O15" s="580"/>
      <c r="P15" s="580">
        <v>957485</v>
      </c>
      <c r="Q15" s="581">
        <f t="shared" si="1"/>
        <v>0.43420599145632477</v>
      </c>
      <c r="R15" s="579"/>
      <c r="S15" s="580"/>
      <c r="T15" s="580"/>
      <c r="U15" s="580"/>
      <c r="V15" s="580"/>
      <c r="W15" s="580"/>
      <c r="X15" s="582"/>
    </row>
    <row r="16" spans="1:24" ht="27.75" customHeight="1">
      <c r="A16" s="35">
        <v>9</v>
      </c>
      <c r="B16" s="1944" t="s">
        <v>359</v>
      </c>
      <c r="C16" s="1944"/>
      <c r="D16" s="579">
        <v>187200</v>
      </c>
      <c r="E16" s="580">
        <v>187200</v>
      </c>
      <c r="F16" s="580">
        <v>187200</v>
      </c>
      <c r="G16" s="580">
        <v>187200</v>
      </c>
      <c r="H16" s="580"/>
      <c r="I16" s="580">
        <v>187200</v>
      </c>
      <c r="J16" s="581">
        <f t="shared" si="0"/>
        <v>1</v>
      </c>
      <c r="K16" s="579">
        <v>187200</v>
      </c>
      <c r="L16" s="580">
        <v>187200</v>
      </c>
      <c r="M16" s="580">
        <v>187200</v>
      </c>
      <c r="N16" s="580">
        <v>187200</v>
      </c>
      <c r="O16" s="580"/>
      <c r="P16" s="580">
        <v>187200</v>
      </c>
      <c r="Q16" s="581">
        <f t="shared" si="1"/>
        <v>1</v>
      </c>
      <c r="R16" s="579"/>
      <c r="S16" s="580"/>
      <c r="T16" s="580"/>
      <c r="U16" s="580"/>
      <c r="V16" s="580"/>
      <c r="W16" s="580"/>
      <c r="X16" s="582"/>
    </row>
    <row r="17" spans="1:24" ht="36" customHeight="1" hidden="1">
      <c r="A17" s="35">
        <v>10</v>
      </c>
      <c r="B17" s="1945" t="s">
        <v>360</v>
      </c>
      <c r="C17" s="1946"/>
      <c r="D17" s="579"/>
      <c r="E17" s="580"/>
      <c r="F17" s="580"/>
      <c r="G17" s="580"/>
      <c r="H17" s="580"/>
      <c r="I17" s="580"/>
      <c r="J17" s="581" t="e">
        <f t="shared" si="0"/>
        <v>#DIV/0!</v>
      </c>
      <c r="K17" s="579"/>
      <c r="L17" s="580"/>
      <c r="M17" s="580"/>
      <c r="N17" s="580"/>
      <c r="O17" s="580"/>
      <c r="P17" s="580"/>
      <c r="Q17" s="581" t="e">
        <f t="shared" si="1"/>
        <v>#DIV/0!</v>
      </c>
      <c r="R17" s="579"/>
      <c r="S17" s="580"/>
      <c r="T17" s="580"/>
      <c r="U17" s="580"/>
      <c r="V17" s="580"/>
      <c r="W17" s="580"/>
      <c r="X17" s="582"/>
    </row>
    <row r="18" spans="1:24" ht="27.75" customHeight="1">
      <c r="A18" s="35">
        <v>10</v>
      </c>
      <c r="B18" s="1947" t="s">
        <v>361</v>
      </c>
      <c r="C18" s="1947"/>
      <c r="D18" s="583">
        <v>952500</v>
      </c>
      <c r="E18" s="584">
        <v>952500</v>
      </c>
      <c r="F18" s="584">
        <v>952500</v>
      </c>
      <c r="G18" s="584">
        <v>952500</v>
      </c>
      <c r="H18" s="584"/>
      <c r="I18" s="584">
        <v>897284</v>
      </c>
      <c r="J18" s="1816">
        <f t="shared" si="0"/>
        <v>0.9420304461942257</v>
      </c>
      <c r="K18" s="583">
        <v>952500</v>
      </c>
      <c r="L18" s="584">
        <v>952500</v>
      </c>
      <c r="M18" s="584">
        <v>952500</v>
      </c>
      <c r="N18" s="584">
        <v>952500</v>
      </c>
      <c r="O18" s="584"/>
      <c r="P18" s="584">
        <v>897284</v>
      </c>
      <c r="Q18" s="581">
        <f t="shared" si="1"/>
        <v>0.9420304461942257</v>
      </c>
      <c r="R18" s="583"/>
      <c r="S18" s="584"/>
      <c r="T18" s="584"/>
      <c r="U18" s="584"/>
      <c r="V18" s="584"/>
      <c r="W18" s="584"/>
      <c r="X18" s="585"/>
    </row>
    <row r="19" spans="1:24" ht="27.75" customHeight="1">
      <c r="A19" s="35">
        <v>11</v>
      </c>
      <c r="B19" s="1939" t="s">
        <v>615</v>
      </c>
      <c r="C19" s="1941"/>
      <c r="D19" s="583">
        <v>6198000</v>
      </c>
      <c r="E19" s="584">
        <v>6198000</v>
      </c>
      <c r="F19" s="584">
        <v>6198000</v>
      </c>
      <c r="G19" s="584">
        <v>5898603</v>
      </c>
      <c r="H19" s="584"/>
      <c r="I19" s="584">
        <v>31227</v>
      </c>
      <c r="J19" s="1817">
        <f t="shared" si="0"/>
        <v>0.005293965367731987</v>
      </c>
      <c r="N19" s="1651"/>
      <c r="O19" s="584"/>
      <c r="P19" s="584"/>
      <c r="Q19" s="581"/>
      <c r="R19" s="583">
        <v>6198000</v>
      </c>
      <c r="S19" s="584">
        <v>6198000</v>
      </c>
      <c r="T19" s="584">
        <v>6198000</v>
      </c>
      <c r="U19" s="584">
        <v>5898603</v>
      </c>
      <c r="V19" s="584"/>
      <c r="W19" s="584">
        <v>31227</v>
      </c>
      <c r="X19" s="581">
        <f>W19/U19</f>
        <v>0.005293965367731987</v>
      </c>
    </row>
    <row r="20" spans="1:24" ht="27.75" customHeight="1" hidden="1">
      <c r="A20" s="35">
        <v>12</v>
      </c>
      <c r="B20" s="1939" t="s">
        <v>502</v>
      </c>
      <c r="C20" s="1941"/>
      <c r="D20" s="583"/>
      <c r="E20" s="584"/>
      <c r="F20" s="584"/>
      <c r="G20" s="584"/>
      <c r="H20" s="584"/>
      <c r="I20" s="584"/>
      <c r="J20" s="581" t="e">
        <f t="shared" si="0"/>
        <v>#DIV/0!</v>
      </c>
      <c r="K20" s="583"/>
      <c r="L20" s="584"/>
      <c r="M20" s="584"/>
      <c r="N20" s="584"/>
      <c r="O20" s="584"/>
      <c r="P20" s="584"/>
      <c r="Q20" s="581" t="e">
        <f t="shared" si="1"/>
        <v>#DIV/0!</v>
      </c>
      <c r="R20" s="583"/>
      <c r="S20" s="584"/>
      <c r="T20" s="584"/>
      <c r="U20" s="584"/>
      <c r="V20" s="584"/>
      <c r="W20" s="584"/>
      <c r="X20" s="585"/>
    </row>
    <row r="21" spans="1:24" ht="27.75" customHeight="1">
      <c r="A21" s="35">
        <v>12</v>
      </c>
      <c r="B21" s="1939" t="s">
        <v>537</v>
      </c>
      <c r="C21" s="1941"/>
      <c r="D21" s="583">
        <v>14205002</v>
      </c>
      <c r="E21" s="584">
        <v>14205002</v>
      </c>
      <c r="F21" s="584">
        <v>14205002</v>
      </c>
      <c r="G21" s="584">
        <v>11071082</v>
      </c>
      <c r="H21" s="584"/>
      <c r="I21" s="584">
        <v>11071082</v>
      </c>
      <c r="J21" s="1816">
        <f t="shared" si="0"/>
        <v>1</v>
      </c>
      <c r="K21" s="583"/>
      <c r="L21" s="584"/>
      <c r="M21" s="584"/>
      <c r="N21" s="584"/>
      <c r="O21" s="584"/>
      <c r="P21" s="584"/>
      <c r="Q21" s="581"/>
      <c r="R21" s="583">
        <v>14205002</v>
      </c>
      <c r="S21" s="584">
        <v>14205002</v>
      </c>
      <c r="T21" s="584">
        <v>14205002</v>
      </c>
      <c r="U21" s="584">
        <v>11071082</v>
      </c>
      <c r="V21" s="584"/>
      <c r="W21" s="584">
        <v>11071082</v>
      </c>
      <c r="X21" s="581">
        <f>W21/U21</f>
        <v>1</v>
      </c>
    </row>
    <row r="22" spans="1:24" ht="27.75" customHeight="1" hidden="1">
      <c r="A22" s="35">
        <v>13</v>
      </c>
      <c r="B22" s="1939" t="s">
        <v>503</v>
      </c>
      <c r="C22" s="1941"/>
      <c r="D22" s="583"/>
      <c r="E22" s="584"/>
      <c r="F22" s="584"/>
      <c r="G22" s="584"/>
      <c r="H22" s="584"/>
      <c r="I22" s="584"/>
      <c r="J22" s="581" t="e">
        <f t="shared" si="0"/>
        <v>#DIV/0!</v>
      </c>
      <c r="K22" s="583"/>
      <c r="L22" s="584"/>
      <c r="M22" s="584"/>
      <c r="N22" s="584"/>
      <c r="O22" s="584"/>
      <c r="P22" s="584"/>
      <c r="Q22" s="581" t="e">
        <f t="shared" si="1"/>
        <v>#DIV/0!</v>
      </c>
      <c r="R22" s="583"/>
      <c r="S22" s="584"/>
      <c r="T22" s="584"/>
      <c r="U22" s="584"/>
      <c r="V22" s="584"/>
      <c r="W22" s="584"/>
      <c r="X22" s="585"/>
    </row>
    <row r="23" spans="1:24" ht="27.75" customHeight="1" hidden="1">
      <c r="A23" s="35">
        <v>15</v>
      </c>
      <c r="B23" s="1939" t="s">
        <v>523</v>
      </c>
      <c r="C23" s="1941"/>
      <c r="D23" s="583"/>
      <c r="E23" s="584"/>
      <c r="F23" s="584"/>
      <c r="G23" s="584"/>
      <c r="H23" s="584"/>
      <c r="I23" s="584"/>
      <c r="J23" s="581" t="e">
        <f t="shared" si="0"/>
        <v>#DIV/0!</v>
      </c>
      <c r="K23" s="583"/>
      <c r="L23" s="584"/>
      <c r="M23" s="584"/>
      <c r="N23" s="584"/>
      <c r="O23" s="584"/>
      <c r="P23" s="584"/>
      <c r="Q23" s="581" t="e">
        <f t="shared" si="1"/>
        <v>#DIV/0!</v>
      </c>
      <c r="R23" s="583"/>
      <c r="S23" s="584"/>
      <c r="T23" s="584"/>
      <c r="U23" s="584"/>
      <c r="V23" s="584"/>
      <c r="W23" s="584"/>
      <c r="X23" s="585"/>
    </row>
    <row r="24" spans="1:24" ht="27.75" customHeight="1">
      <c r="A24" s="35">
        <v>13</v>
      </c>
      <c r="B24" s="1939" t="s">
        <v>536</v>
      </c>
      <c r="C24" s="1941"/>
      <c r="D24" s="583">
        <v>62464</v>
      </c>
      <c r="E24" s="584">
        <v>62464</v>
      </c>
      <c r="F24" s="584">
        <v>0</v>
      </c>
      <c r="G24" s="584">
        <v>0</v>
      </c>
      <c r="H24" s="584"/>
      <c r="I24" s="584">
        <v>0</v>
      </c>
      <c r="J24" s="581"/>
      <c r="K24" s="583">
        <v>62464</v>
      </c>
      <c r="L24" s="584">
        <v>62464</v>
      </c>
      <c r="M24" s="584">
        <v>0</v>
      </c>
      <c r="N24" s="584">
        <v>0</v>
      </c>
      <c r="O24" s="584"/>
      <c r="P24" s="584">
        <v>0</v>
      </c>
      <c r="Q24" s="581"/>
      <c r="R24" s="583"/>
      <c r="S24" s="584"/>
      <c r="T24" s="584"/>
      <c r="U24" s="584"/>
      <c r="V24" s="584"/>
      <c r="W24" s="584"/>
      <c r="X24" s="585"/>
    </row>
    <row r="25" spans="1:24" ht="27.75" customHeight="1" hidden="1">
      <c r="A25" s="35"/>
      <c r="B25" s="1939" t="s">
        <v>524</v>
      </c>
      <c r="C25" s="1941"/>
      <c r="D25" s="583"/>
      <c r="E25" s="584"/>
      <c r="F25" s="584"/>
      <c r="G25" s="584"/>
      <c r="H25" s="584"/>
      <c r="I25" s="584"/>
      <c r="J25" s="581" t="e">
        <f t="shared" si="0"/>
        <v>#DIV/0!</v>
      </c>
      <c r="K25" s="583"/>
      <c r="L25" s="584"/>
      <c r="M25" s="584"/>
      <c r="N25" s="584"/>
      <c r="O25" s="584"/>
      <c r="P25" s="584"/>
      <c r="Q25" s="581" t="e">
        <f t="shared" si="1"/>
        <v>#DIV/0!</v>
      </c>
      <c r="R25" s="583"/>
      <c r="S25" s="584"/>
      <c r="T25" s="584"/>
      <c r="U25" s="584"/>
      <c r="V25" s="584"/>
      <c r="W25" s="584"/>
      <c r="X25" s="585"/>
    </row>
    <row r="26" spans="1:24" ht="27.75" customHeight="1" hidden="1" thickBot="1">
      <c r="A26" s="35"/>
      <c r="B26" s="1942" t="s">
        <v>382</v>
      </c>
      <c r="C26" s="1943"/>
      <c r="D26" s="583"/>
      <c r="E26" s="584"/>
      <c r="F26" s="584"/>
      <c r="G26" s="584"/>
      <c r="H26" s="584"/>
      <c r="I26" s="584"/>
      <c r="J26" s="581" t="e">
        <f t="shared" si="0"/>
        <v>#DIV/0!</v>
      </c>
      <c r="K26" s="583"/>
      <c r="L26" s="584"/>
      <c r="M26" s="584"/>
      <c r="N26" s="584"/>
      <c r="O26" s="584"/>
      <c r="P26" s="584"/>
      <c r="Q26" s="581" t="e">
        <f t="shared" si="1"/>
        <v>#DIV/0!</v>
      </c>
      <c r="R26" s="583"/>
      <c r="S26" s="584"/>
      <c r="T26" s="584"/>
      <c r="U26" s="584"/>
      <c r="V26" s="584"/>
      <c r="W26" s="584"/>
      <c r="X26" s="585"/>
    </row>
    <row r="27" spans="1:24" ht="27.75" customHeight="1">
      <c r="A27" s="35">
        <v>14</v>
      </c>
      <c r="B27" s="1939" t="s">
        <v>616</v>
      </c>
      <c r="C27" s="1941"/>
      <c r="D27" s="583">
        <v>3355850</v>
      </c>
      <c r="E27" s="584">
        <v>3355850</v>
      </c>
      <c r="F27" s="584">
        <v>3355850</v>
      </c>
      <c r="G27" s="584">
        <v>3665146</v>
      </c>
      <c r="H27" s="584"/>
      <c r="I27" s="584">
        <v>3346650</v>
      </c>
      <c r="J27" s="1816">
        <f t="shared" si="0"/>
        <v>0.9131014153324315</v>
      </c>
      <c r="K27" s="583">
        <v>3355850</v>
      </c>
      <c r="L27" s="584">
        <v>3355850</v>
      </c>
      <c r="M27" s="584">
        <v>3355850</v>
      </c>
      <c r="N27" s="584">
        <v>3665146</v>
      </c>
      <c r="O27" s="584"/>
      <c r="P27" s="584">
        <v>3346650</v>
      </c>
      <c r="Q27" s="1816">
        <f t="shared" si="1"/>
        <v>0.9131014153324315</v>
      </c>
      <c r="R27" s="583"/>
      <c r="S27" s="584"/>
      <c r="T27" s="584"/>
      <c r="U27" s="584"/>
      <c r="V27" s="584"/>
      <c r="W27" s="584"/>
      <c r="X27" s="585"/>
    </row>
    <row r="28" spans="1:24" ht="27.75" customHeight="1" hidden="1">
      <c r="A28" s="35">
        <v>16</v>
      </c>
      <c r="B28" s="1939" t="s">
        <v>535</v>
      </c>
      <c r="C28" s="1941"/>
      <c r="D28" s="583"/>
      <c r="E28" s="584"/>
      <c r="F28" s="584"/>
      <c r="G28" s="584"/>
      <c r="H28" s="584"/>
      <c r="I28" s="584"/>
      <c r="J28" s="581" t="e">
        <f t="shared" si="0"/>
        <v>#DIV/0!</v>
      </c>
      <c r="K28" s="583"/>
      <c r="L28" s="584"/>
      <c r="M28" s="584"/>
      <c r="N28" s="584"/>
      <c r="O28" s="584"/>
      <c r="P28" s="584"/>
      <c r="Q28" s="581" t="e">
        <f t="shared" si="1"/>
        <v>#DIV/0!</v>
      </c>
      <c r="R28" s="583"/>
      <c r="S28" s="584"/>
      <c r="T28" s="584"/>
      <c r="U28" s="584"/>
      <c r="V28" s="584"/>
      <c r="W28" s="584"/>
      <c r="X28" s="585"/>
    </row>
    <row r="29" spans="1:24" ht="27.75" customHeight="1">
      <c r="A29" s="35">
        <v>15</v>
      </c>
      <c r="B29" s="1939" t="s">
        <v>671</v>
      </c>
      <c r="C29" s="1941"/>
      <c r="D29" s="583"/>
      <c r="E29" s="584"/>
      <c r="F29" s="584"/>
      <c r="G29" s="584">
        <v>101600</v>
      </c>
      <c r="H29" s="584"/>
      <c r="I29" s="584">
        <v>101600</v>
      </c>
      <c r="J29" s="1816">
        <f t="shared" si="0"/>
        <v>1</v>
      </c>
      <c r="K29" s="583"/>
      <c r="L29" s="584"/>
      <c r="M29" s="584"/>
      <c r="N29" s="584">
        <v>101600</v>
      </c>
      <c r="O29" s="584"/>
      <c r="P29" s="584">
        <v>101600</v>
      </c>
      <c r="Q29" s="1816">
        <f t="shared" si="1"/>
        <v>1</v>
      </c>
      <c r="R29" s="583"/>
      <c r="S29" s="584"/>
      <c r="T29" s="584"/>
      <c r="U29" s="584"/>
      <c r="V29" s="584"/>
      <c r="W29" s="584"/>
      <c r="X29" s="585"/>
    </row>
    <row r="30" spans="1:24" ht="27.75" customHeight="1" hidden="1">
      <c r="A30" s="959">
        <v>18</v>
      </c>
      <c r="B30" s="1939" t="s">
        <v>524</v>
      </c>
      <c r="C30" s="1940"/>
      <c r="D30" s="960"/>
      <c r="E30" s="961"/>
      <c r="F30" s="961"/>
      <c r="G30" s="961"/>
      <c r="H30" s="961"/>
      <c r="I30" s="961"/>
      <c r="J30" s="581" t="e">
        <f t="shared" si="0"/>
        <v>#DIV/0!</v>
      </c>
      <c r="K30" s="960"/>
      <c r="L30" s="961"/>
      <c r="M30" s="961"/>
      <c r="N30" s="961"/>
      <c r="O30" s="961"/>
      <c r="P30" s="961"/>
      <c r="Q30" s="581" t="e">
        <f t="shared" si="1"/>
        <v>#DIV/0!</v>
      </c>
      <c r="R30" s="960"/>
      <c r="S30" s="961"/>
      <c r="T30" s="961"/>
      <c r="U30" s="961"/>
      <c r="V30" s="961"/>
      <c r="W30" s="961"/>
      <c r="X30" s="963"/>
    </row>
    <row r="31" spans="1:24" ht="27.75" customHeight="1" hidden="1">
      <c r="A31" s="959">
        <v>19</v>
      </c>
      <c r="B31" s="1939" t="s">
        <v>502</v>
      </c>
      <c r="C31" s="1940"/>
      <c r="D31" s="960"/>
      <c r="E31" s="961"/>
      <c r="F31" s="961"/>
      <c r="G31" s="961"/>
      <c r="H31" s="961"/>
      <c r="I31" s="961"/>
      <c r="J31" s="581" t="e">
        <f t="shared" si="0"/>
        <v>#DIV/0!</v>
      </c>
      <c r="K31" s="960"/>
      <c r="L31" s="961"/>
      <c r="M31" s="961"/>
      <c r="N31" s="961"/>
      <c r="O31" s="961"/>
      <c r="P31" s="961"/>
      <c r="Q31" s="581" t="e">
        <f t="shared" si="1"/>
        <v>#DIV/0!</v>
      </c>
      <c r="R31" s="960"/>
      <c r="S31" s="961"/>
      <c r="T31" s="961"/>
      <c r="U31" s="961"/>
      <c r="V31" s="961"/>
      <c r="W31" s="961"/>
      <c r="X31" s="963"/>
    </row>
    <row r="32" spans="1:24" ht="27.75" customHeight="1" hidden="1">
      <c r="A32" s="959">
        <v>20</v>
      </c>
      <c r="B32" s="1939" t="s">
        <v>571</v>
      </c>
      <c r="C32" s="1940"/>
      <c r="D32" s="960"/>
      <c r="E32" s="961"/>
      <c r="F32" s="961"/>
      <c r="G32" s="961"/>
      <c r="H32" s="961"/>
      <c r="I32" s="961"/>
      <c r="J32" s="581" t="e">
        <f t="shared" si="0"/>
        <v>#DIV/0!</v>
      </c>
      <c r="K32" s="960"/>
      <c r="L32" s="961"/>
      <c r="M32" s="961"/>
      <c r="N32" s="961"/>
      <c r="O32" s="961"/>
      <c r="P32" s="961"/>
      <c r="Q32" s="581" t="e">
        <f t="shared" si="1"/>
        <v>#DIV/0!</v>
      </c>
      <c r="R32" s="960"/>
      <c r="S32" s="961"/>
      <c r="T32" s="961"/>
      <c r="U32" s="961"/>
      <c r="V32" s="961"/>
      <c r="W32" s="961"/>
      <c r="X32" s="963"/>
    </row>
    <row r="33" spans="1:24" ht="27.75" customHeight="1" hidden="1">
      <c r="A33" s="959">
        <v>21</v>
      </c>
      <c r="B33" s="1939" t="s">
        <v>572</v>
      </c>
      <c r="C33" s="1940"/>
      <c r="D33" s="960"/>
      <c r="E33" s="961"/>
      <c r="F33" s="961"/>
      <c r="G33" s="961"/>
      <c r="H33" s="961"/>
      <c r="I33" s="961"/>
      <c r="J33" s="581" t="e">
        <f t="shared" si="0"/>
        <v>#DIV/0!</v>
      </c>
      <c r="K33" s="960"/>
      <c r="L33" s="961"/>
      <c r="M33" s="961"/>
      <c r="N33" s="961"/>
      <c r="O33" s="961"/>
      <c r="P33" s="961"/>
      <c r="Q33" s="581" t="e">
        <f t="shared" si="1"/>
        <v>#DIV/0!</v>
      </c>
      <c r="R33" s="960"/>
      <c r="S33" s="961"/>
      <c r="T33" s="961"/>
      <c r="U33" s="961"/>
      <c r="V33" s="961"/>
      <c r="W33" s="961"/>
      <c r="X33" s="963"/>
    </row>
    <row r="34" spans="1:24" ht="27.75" customHeight="1" hidden="1">
      <c r="A34" s="959"/>
      <c r="B34" s="1939"/>
      <c r="C34" s="1940"/>
      <c r="D34" s="960"/>
      <c r="E34" s="961"/>
      <c r="F34" s="961"/>
      <c r="G34" s="961"/>
      <c r="H34" s="961"/>
      <c r="I34" s="961"/>
      <c r="J34" s="581" t="e">
        <f t="shared" si="0"/>
        <v>#DIV/0!</v>
      </c>
      <c r="K34" s="960"/>
      <c r="L34" s="961"/>
      <c r="M34" s="961"/>
      <c r="N34" s="961"/>
      <c r="O34" s="961"/>
      <c r="P34" s="961"/>
      <c r="Q34" s="581" t="e">
        <f t="shared" si="1"/>
        <v>#DIV/0!</v>
      </c>
      <c r="R34" s="960"/>
      <c r="S34" s="961"/>
      <c r="T34" s="961"/>
      <c r="U34" s="961"/>
      <c r="V34" s="961"/>
      <c r="W34" s="961"/>
      <c r="X34" s="963"/>
    </row>
    <row r="35" spans="1:24" ht="27.75" customHeight="1" hidden="1">
      <c r="A35" s="959"/>
      <c r="B35" s="1939"/>
      <c r="C35" s="1940"/>
      <c r="D35" s="960"/>
      <c r="E35" s="961"/>
      <c r="F35" s="961"/>
      <c r="G35" s="961"/>
      <c r="H35" s="961"/>
      <c r="I35" s="961"/>
      <c r="J35" s="581" t="e">
        <f t="shared" si="0"/>
        <v>#DIV/0!</v>
      </c>
      <c r="K35" s="960"/>
      <c r="L35" s="961"/>
      <c r="M35" s="961"/>
      <c r="N35" s="961"/>
      <c r="O35" s="961"/>
      <c r="P35" s="961"/>
      <c r="Q35" s="581" t="e">
        <f t="shared" si="1"/>
        <v>#DIV/0!</v>
      </c>
      <c r="R35" s="960"/>
      <c r="S35" s="961"/>
      <c r="T35" s="961"/>
      <c r="U35" s="961"/>
      <c r="V35" s="961"/>
      <c r="W35" s="961"/>
      <c r="X35" s="963"/>
    </row>
    <row r="36" spans="1:24" ht="27.75" customHeight="1">
      <c r="A36" s="35">
        <v>16</v>
      </c>
      <c r="B36" s="1939" t="s">
        <v>382</v>
      </c>
      <c r="C36" s="1941"/>
      <c r="D36" s="583">
        <v>1595117</v>
      </c>
      <c r="E36" s="584">
        <v>1595117</v>
      </c>
      <c r="F36" s="584">
        <v>1595117</v>
      </c>
      <c r="G36" s="584">
        <v>1840862</v>
      </c>
      <c r="H36" s="584"/>
      <c r="I36" s="584">
        <v>1584162</v>
      </c>
      <c r="J36" s="1816">
        <f t="shared" si="0"/>
        <v>0.8605544576399534</v>
      </c>
      <c r="K36" s="583">
        <v>1595117</v>
      </c>
      <c r="L36" s="584">
        <v>1595117</v>
      </c>
      <c r="M36" s="584">
        <v>1595117</v>
      </c>
      <c r="N36" s="584">
        <v>1840862</v>
      </c>
      <c r="O36" s="584"/>
      <c r="P36" s="584">
        <v>1584162</v>
      </c>
      <c r="Q36" s="1816">
        <f t="shared" si="1"/>
        <v>0.8605544576399534</v>
      </c>
      <c r="R36" s="583"/>
      <c r="S36" s="584"/>
      <c r="T36" s="584"/>
      <c r="U36" s="584"/>
      <c r="V36" s="584"/>
      <c r="W36" s="584"/>
      <c r="X36" s="585"/>
    </row>
    <row r="37" spans="1:24" ht="27.75" customHeight="1">
      <c r="A37" s="35">
        <v>17</v>
      </c>
      <c r="B37" s="1939" t="s">
        <v>571</v>
      </c>
      <c r="C37" s="1941"/>
      <c r="D37" s="583"/>
      <c r="E37" s="584">
        <v>4360000</v>
      </c>
      <c r="F37" s="584">
        <v>4360000</v>
      </c>
      <c r="G37" s="584">
        <v>4360000</v>
      </c>
      <c r="H37" s="584"/>
      <c r="I37" s="584">
        <v>0</v>
      </c>
      <c r="J37" s="1816">
        <f t="shared" si="0"/>
        <v>0</v>
      </c>
      <c r="K37" s="583"/>
      <c r="L37" s="584">
        <v>4360000</v>
      </c>
      <c r="M37" s="584">
        <v>4360000</v>
      </c>
      <c r="N37" s="584">
        <v>4360000</v>
      </c>
      <c r="O37" s="584"/>
      <c r="P37" s="584">
        <v>0</v>
      </c>
      <c r="Q37" s="1816">
        <f t="shared" si="1"/>
        <v>0</v>
      </c>
      <c r="R37" s="583"/>
      <c r="S37" s="584"/>
      <c r="T37" s="584"/>
      <c r="U37" s="584"/>
      <c r="V37" s="584"/>
      <c r="W37" s="584"/>
      <c r="X37" s="585"/>
    </row>
    <row r="38" spans="1:24" ht="27.75" customHeight="1">
      <c r="A38" s="35">
        <v>18</v>
      </c>
      <c r="B38" s="1939" t="s">
        <v>670</v>
      </c>
      <c r="C38" s="1941"/>
      <c r="D38" s="583"/>
      <c r="E38" s="584"/>
      <c r="F38" s="584"/>
      <c r="G38" s="584">
        <v>98530</v>
      </c>
      <c r="H38" s="584"/>
      <c r="I38" s="584">
        <v>98530</v>
      </c>
      <c r="J38" s="1816">
        <f t="shared" si="0"/>
        <v>1</v>
      </c>
      <c r="K38" s="583"/>
      <c r="L38" s="584"/>
      <c r="M38" s="584"/>
      <c r="N38" s="584">
        <v>98530</v>
      </c>
      <c r="O38" s="584"/>
      <c r="P38" s="584">
        <v>98530</v>
      </c>
      <c r="Q38" s="1816">
        <f t="shared" si="1"/>
        <v>1</v>
      </c>
      <c r="R38" s="583"/>
      <c r="S38" s="584"/>
      <c r="T38" s="584"/>
      <c r="U38" s="584"/>
      <c r="V38" s="584"/>
      <c r="W38" s="584"/>
      <c r="X38" s="585"/>
    </row>
    <row r="39" spans="1:24" ht="27.75" customHeight="1">
      <c r="A39" s="35">
        <v>19</v>
      </c>
      <c r="B39" s="1939" t="s">
        <v>365</v>
      </c>
      <c r="C39" s="1941"/>
      <c r="D39" s="583"/>
      <c r="E39" s="584"/>
      <c r="F39" s="584"/>
      <c r="G39" s="584">
        <v>2137410</v>
      </c>
      <c r="H39" s="584"/>
      <c r="I39" s="584">
        <v>2137410</v>
      </c>
      <c r="J39" s="1816">
        <f t="shared" si="0"/>
        <v>1</v>
      </c>
      <c r="K39" s="583"/>
      <c r="L39" s="584"/>
      <c r="M39" s="584"/>
      <c r="N39" s="584">
        <v>2137410</v>
      </c>
      <c r="O39" s="584"/>
      <c r="P39" s="584">
        <v>2137410</v>
      </c>
      <c r="Q39" s="1816">
        <f t="shared" si="1"/>
        <v>1</v>
      </c>
      <c r="R39" s="583"/>
      <c r="S39" s="584"/>
      <c r="T39" s="584"/>
      <c r="U39" s="584"/>
      <c r="V39" s="584"/>
      <c r="W39" s="584"/>
      <c r="X39" s="585"/>
    </row>
    <row r="40" spans="1:24" ht="27.75" customHeight="1" thickBot="1">
      <c r="A40" s="35">
        <v>20</v>
      </c>
      <c r="B40" s="1939" t="s">
        <v>669</v>
      </c>
      <c r="C40" s="1941"/>
      <c r="D40" s="583"/>
      <c r="E40" s="584"/>
      <c r="F40" s="584"/>
      <c r="G40" s="584">
        <v>2220520</v>
      </c>
      <c r="H40" s="584"/>
      <c r="I40" s="584">
        <v>2220520</v>
      </c>
      <c r="J40" s="1816">
        <f t="shared" si="0"/>
        <v>1</v>
      </c>
      <c r="K40" s="583"/>
      <c r="L40" s="584"/>
      <c r="M40" s="584"/>
      <c r="N40" s="584">
        <v>2220520</v>
      </c>
      <c r="O40" s="584"/>
      <c r="P40" s="584">
        <v>2220520</v>
      </c>
      <c r="Q40" s="1816">
        <f t="shared" si="1"/>
        <v>1</v>
      </c>
      <c r="R40" s="583"/>
      <c r="S40" s="584"/>
      <c r="T40" s="584"/>
      <c r="U40" s="584"/>
      <c r="V40" s="584"/>
      <c r="W40" s="584"/>
      <c r="X40" s="585"/>
    </row>
    <row r="41" spans="1:24" ht="27.75" customHeight="1" hidden="1" thickBot="1">
      <c r="A41" s="35"/>
      <c r="B41" s="1939"/>
      <c r="C41" s="1941"/>
      <c r="D41" s="583"/>
      <c r="E41" s="584"/>
      <c r="F41" s="584"/>
      <c r="G41" s="584"/>
      <c r="H41" s="584"/>
      <c r="I41" s="584"/>
      <c r="J41" s="576" t="e">
        <f>SUM(I41/G41)</f>
        <v>#DIV/0!</v>
      </c>
      <c r="K41" s="583"/>
      <c r="L41" s="584"/>
      <c r="M41" s="584"/>
      <c r="N41" s="584"/>
      <c r="O41" s="584"/>
      <c r="P41" s="584"/>
      <c r="Q41" s="962" t="e">
        <f t="shared" si="1"/>
        <v>#DIV/0!</v>
      </c>
      <c r="R41" s="583"/>
      <c r="S41" s="584"/>
      <c r="T41" s="584"/>
      <c r="U41" s="584"/>
      <c r="V41" s="584"/>
      <c r="W41" s="584"/>
      <c r="X41" s="585"/>
    </row>
    <row r="42" spans="1:24" ht="32.25" customHeight="1" thickBot="1">
      <c r="A42" s="586"/>
      <c r="B42" s="1938" t="s">
        <v>362</v>
      </c>
      <c r="C42" s="1938"/>
      <c r="D42" s="587">
        <f>SUM(D8:D36)</f>
        <v>72685991</v>
      </c>
      <c r="E42" s="588">
        <f>SUM(E8:E37)</f>
        <v>73355791</v>
      </c>
      <c r="F42" s="588">
        <f>SUM(F8:F37)</f>
        <v>73546030</v>
      </c>
      <c r="G42" s="588">
        <f>SUM(G8:G41)</f>
        <v>202930067</v>
      </c>
      <c r="H42" s="588">
        <f>SUM(H8:H36)</f>
        <v>0</v>
      </c>
      <c r="I42" s="588">
        <f>SUM(I8:I40)</f>
        <v>55819402</v>
      </c>
      <c r="J42" s="1818">
        <f>SUM(I42/G42)</f>
        <v>0.2750671836125693</v>
      </c>
      <c r="K42" s="587">
        <f>SUM(K8:K36)</f>
        <v>51116812</v>
      </c>
      <c r="L42" s="588">
        <f>SUM(L8:L37)</f>
        <v>51786612</v>
      </c>
      <c r="M42" s="588">
        <f>SUM(M8:M37)</f>
        <v>51976851</v>
      </c>
      <c r="N42" s="588">
        <f>SUM(N8:N41)</f>
        <v>184794205</v>
      </c>
      <c r="O42" s="588">
        <f aca="true" t="shared" si="2" ref="O42:U42">SUM(O8:O36)</f>
        <v>0</v>
      </c>
      <c r="P42" s="1652">
        <f>SUM(P8:P40)</f>
        <v>44090228</v>
      </c>
      <c r="Q42" s="1818">
        <f t="shared" si="1"/>
        <v>0.23859096663772547</v>
      </c>
      <c r="R42" s="587">
        <f t="shared" si="2"/>
        <v>21569179</v>
      </c>
      <c r="S42" s="588">
        <f t="shared" si="2"/>
        <v>21569179</v>
      </c>
      <c r="T42" s="588">
        <f t="shared" si="2"/>
        <v>21569179</v>
      </c>
      <c r="U42" s="588">
        <f t="shared" si="2"/>
        <v>18135862</v>
      </c>
      <c r="V42" s="588">
        <f>SUM(V8:V18)</f>
        <v>0</v>
      </c>
      <c r="W42" s="1652">
        <f>SUM(W8:W40)</f>
        <v>11729174</v>
      </c>
      <c r="X42" s="589">
        <f>W42/U42</f>
        <v>0.6467392616904561</v>
      </c>
    </row>
    <row r="43" spans="4:20" ht="12.75">
      <c r="D43" s="854" t="str">
        <f>IF(D42='4.sz.m.ÖNK kiadás'!E9," ","HIBA-nem egyenlő"=D19)</f>
        <v> </v>
      </c>
      <c r="E43" s="930"/>
      <c r="F43" s="930"/>
      <c r="G43" s="930"/>
      <c r="I43" s="930"/>
      <c r="T43" s="566"/>
    </row>
    <row r="44" spans="4:19" ht="12.75">
      <c r="D44" s="566"/>
      <c r="E44" s="566"/>
      <c r="F44" s="9"/>
      <c r="G44" s="9"/>
      <c r="H44" s="9"/>
      <c r="I44" s="566"/>
      <c r="J44" s="9"/>
      <c r="K44" s="9"/>
      <c r="L44" s="9"/>
      <c r="R44" s="9"/>
      <c r="S44" s="9"/>
    </row>
    <row r="45" spans="4:19" ht="12.75">
      <c r="D45" s="566"/>
      <c r="E45" s="9"/>
      <c r="F45" s="9"/>
      <c r="G45" s="9"/>
      <c r="H45" s="566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4:19" ht="12.75">
      <c r="D46" s="9"/>
      <c r="E46" s="9"/>
      <c r="F46" s="9"/>
      <c r="G46" s="9"/>
      <c r="H46" s="566"/>
      <c r="I46" s="566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4:19" ht="12.7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4:19" ht="12.7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</sheetData>
  <sheetProtection/>
  <mergeCells count="43">
    <mergeCell ref="B41:C41"/>
    <mergeCell ref="B38:C38"/>
    <mergeCell ref="B39:C39"/>
    <mergeCell ref="K1:W1"/>
    <mergeCell ref="A2:R2"/>
    <mergeCell ref="A3:R3"/>
    <mergeCell ref="A4:R4"/>
    <mergeCell ref="B6:C6"/>
    <mergeCell ref="R5:W5"/>
    <mergeCell ref="D6:J6"/>
    <mergeCell ref="K6:Q6"/>
    <mergeCell ref="R6:X6"/>
    <mergeCell ref="B13:C13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25:C25"/>
    <mergeCell ref="B29:C29"/>
    <mergeCell ref="B24:C24"/>
    <mergeCell ref="B20:C20"/>
    <mergeCell ref="B23:C23"/>
    <mergeCell ref="B21:C21"/>
    <mergeCell ref="B22:C22"/>
    <mergeCell ref="B26:C26"/>
    <mergeCell ref="B27:C27"/>
    <mergeCell ref="B28:C28"/>
    <mergeCell ref="B42:C42"/>
    <mergeCell ref="B31:C31"/>
    <mergeCell ref="B35:C35"/>
    <mergeCell ref="B32:C32"/>
    <mergeCell ref="B33:C33"/>
    <mergeCell ref="B30:C30"/>
    <mergeCell ref="B36:C36"/>
    <mergeCell ref="B34:C34"/>
    <mergeCell ref="B37:C37"/>
    <mergeCell ref="B40:C4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42"/>
  <sheetViews>
    <sheetView view="pageBreakPreview" zoomScale="60" zoomScaleNormal="70" workbookViewId="0" topLeftCell="A1">
      <selection activeCell="A23" sqref="A23:IV36"/>
    </sheetView>
  </sheetViews>
  <sheetFormatPr defaultColWidth="9.140625" defaultRowHeight="12.75"/>
  <cols>
    <col min="1" max="1" width="50.28125" style="11" customWidth="1"/>
    <col min="2" max="2" width="13.28125" style="11" customWidth="1"/>
    <col min="3" max="3" width="22.57421875" style="22" customWidth="1"/>
    <col min="4" max="5" width="17.00390625" style="22" hidden="1" customWidth="1"/>
    <col min="6" max="10" width="16.8515625" style="22" customWidth="1"/>
    <col min="11" max="13" width="17.00390625" style="22" customWidth="1"/>
    <col min="14" max="14" width="21.421875" style="22" hidden="1" customWidth="1"/>
    <col min="15" max="15" width="17.28125" style="22" hidden="1" customWidth="1"/>
    <col min="16" max="16" width="2.7109375" style="22" hidden="1" customWidth="1"/>
    <col min="17" max="17" width="22.57421875" style="22" customWidth="1"/>
    <col min="18" max="18" width="17.28125" style="11" hidden="1" customWidth="1"/>
    <col min="19" max="19" width="17.421875" style="11" hidden="1" customWidth="1"/>
    <col min="20" max="20" width="18.28125" style="11" customWidth="1"/>
    <col min="21" max="21" width="18.421875" style="11" customWidth="1"/>
    <col min="22" max="22" width="14.421875" style="11" hidden="1" customWidth="1"/>
    <col min="23" max="23" width="16.140625" style="11" customWidth="1"/>
    <col min="24" max="24" width="17.7109375" style="11" customWidth="1"/>
    <col min="25" max="25" width="9.140625" style="11" customWidth="1"/>
    <col min="26" max="26" width="13.28125" style="11" bestFit="1" customWidth="1"/>
    <col min="27" max="27" width="15.57421875" style="11" bestFit="1" customWidth="1"/>
    <col min="28" max="16384" width="9.140625" style="11" customWidth="1"/>
  </cols>
  <sheetData>
    <row r="1" spans="10:21" ht="24.75" customHeight="1">
      <c r="J1" s="1977" t="s">
        <v>1010</v>
      </c>
      <c r="K1" s="1977"/>
      <c r="L1" s="1977"/>
      <c r="M1" s="1977"/>
      <c r="N1" s="1977"/>
      <c r="O1" s="1977"/>
      <c r="P1" s="1977"/>
      <c r="Q1" s="1977"/>
      <c r="R1" s="1977"/>
      <c r="S1" s="1977"/>
      <c r="T1" s="1977"/>
      <c r="U1" s="1977"/>
    </row>
    <row r="2" spans="1:17" ht="37.5" customHeight="1">
      <c r="A2" s="1978" t="s">
        <v>363</v>
      </c>
      <c r="B2" s="1978"/>
      <c r="C2" s="1979"/>
      <c r="D2" s="1979"/>
      <c r="E2" s="1979"/>
      <c r="F2" s="1979"/>
      <c r="G2" s="1979"/>
      <c r="H2" s="1979"/>
      <c r="I2" s="1979"/>
      <c r="J2" s="1979"/>
      <c r="K2" s="1979"/>
      <c r="L2" s="1979"/>
      <c r="M2" s="1979"/>
      <c r="N2" s="1979"/>
      <c r="O2" s="1979"/>
      <c r="P2" s="1979"/>
      <c r="Q2" s="1979"/>
    </row>
    <row r="3" spans="1:17" ht="18.75" customHeight="1">
      <c r="A3" s="1980" t="s">
        <v>594</v>
      </c>
      <c r="B3" s="1980"/>
      <c r="C3" s="1980"/>
      <c r="D3" s="1980"/>
      <c r="E3" s="1980"/>
      <c r="F3" s="1980"/>
      <c r="G3" s="1980"/>
      <c r="H3" s="1980"/>
      <c r="I3" s="1980"/>
      <c r="J3" s="1980"/>
      <c r="K3" s="1980"/>
      <c r="L3" s="1980"/>
      <c r="M3" s="1980"/>
      <c r="N3" s="1980"/>
      <c r="O3" s="1980"/>
      <c r="P3" s="1980"/>
      <c r="Q3" s="1980"/>
    </row>
    <row r="4" spans="1:17" ht="15.75">
      <c r="A4" s="1981" t="s">
        <v>364</v>
      </c>
      <c r="B4" s="1981"/>
      <c r="C4" s="1981"/>
      <c r="D4" s="1981"/>
      <c r="E4" s="1981"/>
      <c r="F4" s="1981"/>
      <c r="G4" s="1981"/>
      <c r="H4" s="1981"/>
      <c r="I4" s="1981"/>
      <c r="J4" s="1981"/>
      <c r="K4" s="1981"/>
      <c r="L4" s="1981"/>
      <c r="M4" s="1981"/>
      <c r="N4" s="1981"/>
      <c r="O4" s="1981"/>
      <c r="P4" s="1981"/>
      <c r="Q4" s="1981"/>
    </row>
    <row r="5" spans="1:17" ht="19.5" thickBot="1">
      <c r="A5" s="591"/>
      <c r="B5" s="591"/>
      <c r="Q5" s="590" t="s">
        <v>445</v>
      </c>
    </row>
    <row r="6" spans="1:24" ht="19.5" customHeight="1">
      <c r="A6" s="1959" t="s">
        <v>487</v>
      </c>
      <c r="B6" s="1962" t="s">
        <v>366</v>
      </c>
      <c r="C6" s="1965" t="s">
        <v>4</v>
      </c>
      <c r="D6" s="1966"/>
      <c r="E6" s="1966"/>
      <c r="F6" s="1966"/>
      <c r="G6" s="1966"/>
      <c r="H6" s="1966"/>
      <c r="I6" s="1967"/>
      <c r="J6" s="1965" t="s">
        <v>367</v>
      </c>
      <c r="K6" s="1966"/>
      <c r="L6" s="1966"/>
      <c r="M6" s="1966"/>
      <c r="N6" s="1966"/>
      <c r="O6" s="1966"/>
      <c r="P6" s="1967"/>
      <c r="Q6" s="1965" t="s">
        <v>25</v>
      </c>
      <c r="R6" s="1966"/>
      <c r="S6" s="1966"/>
      <c r="T6" s="1966"/>
      <c r="U6" s="1966"/>
      <c r="V6" s="1966"/>
      <c r="W6" s="1974"/>
      <c r="X6" s="592"/>
    </row>
    <row r="7" spans="1:24" ht="12.75" customHeight="1">
      <c r="A7" s="1960"/>
      <c r="B7" s="1963"/>
      <c r="C7" s="1968"/>
      <c r="D7" s="1969"/>
      <c r="E7" s="1969"/>
      <c r="F7" s="1969"/>
      <c r="G7" s="1969"/>
      <c r="H7" s="1969"/>
      <c r="I7" s="1970"/>
      <c r="J7" s="1968"/>
      <c r="K7" s="1969"/>
      <c r="L7" s="1969"/>
      <c r="M7" s="1969"/>
      <c r="N7" s="1969"/>
      <c r="O7" s="1969"/>
      <c r="P7" s="1970"/>
      <c r="Q7" s="1968"/>
      <c r="R7" s="1969"/>
      <c r="S7" s="1969"/>
      <c r="T7" s="1969"/>
      <c r="U7" s="1969"/>
      <c r="V7" s="1969"/>
      <c r="W7" s="1975"/>
      <c r="X7" s="594"/>
    </row>
    <row r="8" spans="1:24" ht="20.25" customHeight="1" thickBot="1">
      <c r="A8" s="1961"/>
      <c r="B8" s="1964"/>
      <c r="C8" s="1971"/>
      <c r="D8" s="1972"/>
      <c r="E8" s="1972"/>
      <c r="F8" s="1972"/>
      <c r="G8" s="1972"/>
      <c r="H8" s="1972"/>
      <c r="I8" s="1973"/>
      <c r="J8" s="1971"/>
      <c r="K8" s="1972"/>
      <c r="L8" s="1972"/>
      <c r="M8" s="1972"/>
      <c r="N8" s="1972"/>
      <c r="O8" s="1972"/>
      <c r="P8" s="1973"/>
      <c r="Q8" s="1971"/>
      <c r="R8" s="1972"/>
      <c r="S8" s="1972"/>
      <c r="T8" s="1972"/>
      <c r="U8" s="1972"/>
      <c r="V8" s="1972"/>
      <c r="W8" s="1976"/>
      <c r="X8" s="594"/>
    </row>
    <row r="9" spans="1:24" ht="113.25" thickTop="1">
      <c r="A9" s="595"/>
      <c r="B9" s="593"/>
      <c r="C9" s="596" t="s">
        <v>64</v>
      </c>
      <c r="D9" s="596" t="s">
        <v>220</v>
      </c>
      <c r="E9" s="596" t="s">
        <v>223</v>
      </c>
      <c r="F9" s="596" t="s">
        <v>225</v>
      </c>
      <c r="G9" s="597" t="s">
        <v>228</v>
      </c>
      <c r="H9" s="597" t="s">
        <v>242</v>
      </c>
      <c r="I9" s="597" t="s">
        <v>229</v>
      </c>
      <c r="J9" s="596" t="s">
        <v>64</v>
      </c>
      <c r="K9" s="596" t="s">
        <v>220</v>
      </c>
      <c r="L9" s="596" t="s">
        <v>223</v>
      </c>
      <c r="M9" s="596" t="s">
        <v>225</v>
      </c>
      <c r="N9" s="597" t="s">
        <v>237</v>
      </c>
      <c r="O9" s="597" t="s">
        <v>242</v>
      </c>
      <c r="P9" s="597" t="s">
        <v>229</v>
      </c>
      <c r="Q9" s="596" t="s">
        <v>64</v>
      </c>
      <c r="R9" s="596" t="s">
        <v>220</v>
      </c>
      <c r="S9" s="596" t="s">
        <v>223</v>
      </c>
      <c r="T9" s="596" t="s">
        <v>225</v>
      </c>
      <c r="U9" s="597" t="s">
        <v>228</v>
      </c>
      <c r="V9" s="597" t="s">
        <v>242</v>
      </c>
      <c r="W9" s="598" t="s">
        <v>229</v>
      </c>
      <c r="X9" s="594"/>
    </row>
    <row r="10" spans="1:24" ht="27" customHeight="1">
      <c r="A10" s="599" t="s">
        <v>488</v>
      </c>
      <c r="B10" s="600" t="s">
        <v>204</v>
      </c>
      <c r="C10" s="601">
        <v>100000</v>
      </c>
      <c r="D10" s="601">
        <v>100000</v>
      </c>
      <c r="E10" s="601">
        <v>100000</v>
      </c>
      <c r="F10" s="601">
        <f>100000-52000</f>
        <v>48000</v>
      </c>
      <c r="G10" s="601">
        <v>0</v>
      </c>
      <c r="H10" s="601"/>
      <c r="I10" s="603"/>
      <c r="J10" s="601"/>
      <c r="K10" s="601"/>
      <c r="L10" s="601"/>
      <c r="M10" s="601"/>
      <c r="N10" s="602"/>
      <c r="O10" s="601"/>
      <c r="P10" s="603"/>
      <c r="Q10" s="601">
        <v>100000</v>
      </c>
      <c r="R10" s="601">
        <v>100000</v>
      </c>
      <c r="S10" s="601">
        <f>E10-L10</f>
        <v>100000</v>
      </c>
      <c r="T10" s="601">
        <f>100000-52000</f>
        <v>48000</v>
      </c>
      <c r="U10" s="601">
        <f>G10-N10</f>
        <v>0</v>
      </c>
      <c r="V10" s="601"/>
      <c r="W10" s="603">
        <f aca="true" t="shared" si="0" ref="W10:W15">U10/T10</f>
        <v>0</v>
      </c>
      <c r="X10" s="594"/>
    </row>
    <row r="11" spans="1:24" ht="27.75" customHeight="1">
      <c r="A11" s="599" t="s">
        <v>489</v>
      </c>
      <c r="B11" s="600" t="s">
        <v>204</v>
      </c>
      <c r="C11" s="601">
        <v>500000</v>
      </c>
      <c r="D11" s="601">
        <v>500000</v>
      </c>
      <c r="E11" s="601">
        <v>500000</v>
      </c>
      <c r="F11" s="601">
        <v>500000</v>
      </c>
      <c r="G11" s="601">
        <v>220000</v>
      </c>
      <c r="H11" s="601"/>
      <c r="I11" s="603">
        <f>SUM(G11/F11)</f>
        <v>0.44</v>
      </c>
      <c r="J11" s="601"/>
      <c r="K11" s="601"/>
      <c r="L11" s="601"/>
      <c r="M11" s="601"/>
      <c r="N11" s="601"/>
      <c r="O11" s="601"/>
      <c r="P11" s="603"/>
      <c r="Q11" s="601">
        <v>500000</v>
      </c>
      <c r="R11" s="601">
        <v>500000</v>
      </c>
      <c r="S11" s="601">
        <f aca="true" t="shared" si="1" ref="S11:U17">E11-L11</f>
        <v>500000</v>
      </c>
      <c r="T11" s="601">
        <v>500000</v>
      </c>
      <c r="U11" s="601"/>
      <c r="V11" s="601"/>
      <c r="W11" s="603">
        <f t="shared" si="0"/>
        <v>0</v>
      </c>
      <c r="X11" s="594"/>
    </row>
    <row r="12" spans="1:24" ht="27" customHeight="1">
      <c r="A12" s="599" t="s">
        <v>368</v>
      </c>
      <c r="B12" s="600" t="s">
        <v>203</v>
      </c>
      <c r="C12" s="601"/>
      <c r="D12" s="601"/>
      <c r="E12" s="601"/>
      <c r="F12" s="601"/>
      <c r="H12" s="601"/>
      <c r="I12" s="603"/>
      <c r="J12" s="601"/>
      <c r="K12" s="601"/>
      <c r="L12" s="601"/>
      <c r="M12" s="601"/>
      <c r="N12" s="601"/>
      <c r="O12" s="601"/>
      <c r="P12" s="604"/>
      <c r="Q12" s="601"/>
      <c r="R12" s="601"/>
      <c r="S12" s="601">
        <f t="shared" si="1"/>
        <v>0</v>
      </c>
      <c r="T12" s="601"/>
      <c r="U12" s="601">
        <f>G11-N12</f>
        <v>220000</v>
      </c>
      <c r="V12" s="601"/>
      <c r="W12" s="603" t="e">
        <f t="shared" si="0"/>
        <v>#DIV/0!</v>
      </c>
      <c r="X12" s="594"/>
    </row>
    <row r="13" spans="1:26" ht="28.5" customHeight="1">
      <c r="A13" s="599" t="s">
        <v>490</v>
      </c>
      <c r="B13" s="600" t="s">
        <v>204</v>
      </c>
      <c r="C13" s="601">
        <f>150000+500000+500000</f>
        <v>1150000</v>
      </c>
      <c r="D13" s="601">
        <f>150000+500000+500000</f>
        <v>1150000</v>
      </c>
      <c r="E13" s="601">
        <f>150000+500000+500000</f>
        <v>1150000</v>
      </c>
      <c r="F13" s="601">
        <f>150000+500000+500000+52000</f>
        <v>1202000</v>
      </c>
      <c r="G13" s="601">
        <v>1202000</v>
      </c>
      <c r="H13" s="601">
        <f>+G13-F13</f>
        <v>0</v>
      </c>
      <c r="I13" s="603">
        <f>SUM(G13/F13)</f>
        <v>1</v>
      </c>
      <c r="J13" s="601"/>
      <c r="K13" s="601"/>
      <c r="L13" s="601"/>
      <c r="M13" s="601"/>
      <c r="N13" s="601"/>
      <c r="O13" s="601"/>
      <c r="P13" s="604"/>
      <c r="Q13" s="601">
        <f>150000+500000+500000</f>
        <v>1150000</v>
      </c>
      <c r="R13" s="601">
        <f>150000+500000+500000</f>
        <v>1150000</v>
      </c>
      <c r="S13" s="601">
        <f t="shared" si="1"/>
        <v>1150000</v>
      </c>
      <c r="T13" s="601">
        <f>150000+500000+500000+52000</f>
        <v>1202000</v>
      </c>
      <c r="U13" s="601">
        <f t="shared" si="1"/>
        <v>1202000</v>
      </c>
      <c r="V13" s="601"/>
      <c r="W13" s="603">
        <f t="shared" si="0"/>
        <v>1</v>
      </c>
      <c r="X13" s="594"/>
      <c r="Z13" s="22"/>
    </row>
    <row r="14" spans="1:24" ht="32.25" customHeight="1">
      <c r="A14" s="599" t="s">
        <v>491</v>
      </c>
      <c r="B14" s="600" t="s">
        <v>204</v>
      </c>
      <c r="C14" s="601">
        <v>500000</v>
      </c>
      <c r="D14" s="601">
        <v>500000</v>
      </c>
      <c r="E14" s="601">
        <v>500000</v>
      </c>
      <c r="F14" s="601">
        <v>500000</v>
      </c>
      <c r="G14" s="601"/>
      <c r="H14" s="601"/>
      <c r="I14" s="603"/>
      <c r="J14" s="601"/>
      <c r="K14" s="601"/>
      <c r="L14" s="601"/>
      <c r="M14" s="601"/>
      <c r="N14" s="601"/>
      <c r="O14" s="601"/>
      <c r="P14" s="604"/>
      <c r="Q14" s="601">
        <v>500000</v>
      </c>
      <c r="R14" s="601">
        <v>500000</v>
      </c>
      <c r="S14" s="601">
        <f t="shared" si="1"/>
        <v>500000</v>
      </c>
      <c r="T14" s="601">
        <v>500000</v>
      </c>
      <c r="U14" s="601">
        <f t="shared" si="1"/>
        <v>0</v>
      </c>
      <c r="V14" s="601"/>
      <c r="W14" s="603">
        <f t="shared" si="0"/>
        <v>0</v>
      </c>
      <c r="X14" s="594"/>
    </row>
    <row r="15" spans="1:24" ht="33" customHeight="1" thickBot="1">
      <c r="A15" s="599" t="s">
        <v>672</v>
      </c>
      <c r="B15" s="600" t="s">
        <v>203</v>
      </c>
      <c r="C15" s="606"/>
      <c r="D15" s="606"/>
      <c r="E15" s="606"/>
      <c r="F15" s="606">
        <v>32000</v>
      </c>
      <c r="G15" s="606">
        <v>32000</v>
      </c>
      <c r="H15" s="606"/>
      <c r="I15" s="603">
        <f>SUM(G15/F15)</f>
        <v>1</v>
      </c>
      <c r="J15" s="606"/>
      <c r="K15" s="606"/>
      <c r="L15" s="606"/>
      <c r="M15" s="606"/>
      <c r="N15" s="606"/>
      <c r="O15" s="606"/>
      <c r="P15" s="604"/>
      <c r="Q15" s="601"/>
      <c r="R15" s="606"/>
      <c r="S15" s="601">
        <f t="shared" si="1"/>
        <v>0</v>
      </c>
      <c r="T15" s="606">
        <v>32000</v>
      </c>
      <c r="U15" s="601">
        <f t="shared" si="1"/>
        <v>32000</v>
      </c>
      <c r="V15" s="606"/>
      <c r="W15" s="603">
        <f t="shared" si="0"/>
        <v>1</v>
      </c>
      <c r="X15" s="594"/>
    </row>
    <row r="16" spans="1:24" ht="33" customHeight="1" hidden="1">
      <c r="A16" s="599" t="s">
        <v>492</v>
      </c>
      <c r="B16" s="600" t="s">
        <v>204</v>
      </c>
      <c r="C16" s="606"/>
      <c r="D16" s="606"/>
      <c r="E16" s="606"/>
      <c r="F16" s="606"/>
      <c r="G16" s="606"/>
      <c r="H16" s="606"/>
      <c r="I16" s="604"/>
      <c r="J16" s="606"/>
      <c r="K16" s="606"/>
      <c r="L16" s="606"/>
      <c r="M16" s="606"/>
      <c r="N16" s="606"/>
      <c r="O16" s="606"/>
      <c r="P16" s="604"/>
      <c r="Q16" s="601"/>
      <c r="R16" s="606"/>
      <c r="S16" s="601">
        <f t="shared" si="1"/>
        <v>0</v>
      </c>
      <c r="T16" s="601">
        <f t="shared" si="1"/>
        <v>0</v>
      </c>
      <c r="U16" s="601">
        <f t="shared" si="1"/>
        <v>0</v>
      </c>
      <c r="V16" s="606"/>
      <c r="W16" s="748"/>
      <c r="X16" s="594"/>
    </row>
    <row r="17" spans="1:24" ht="33" customHeight="1" hidden="1" thickBot="1">
      <c r="A17" s="758" t="s">
        <v>436</v>
      </c>
      <c r="B17" s="759" t="s">
        <v>204</v>
      </c>
      <c r="C17" s="760"/>
      <c r="D17" s="760"/>
      <c r="E17" s="760"/>
      <c r="F17" s="760"/>
      <c r="G17" s="760"/>
      <c r="H17" s="760"/>
      <c r="I17" s="761"/>
      <c r="J17" s="760"/>
      <c r="K17" s="760"/>
      <c r="L17" s="760"/>
      <c r="M17" s="760"/>
      <c r="N17" s="760"/>
      <c r="O17" s="760"/>
      <c r="P17" s="761"/>
      <c r="Q17" s="606"/>
      <c r="R17" s="760"/>
      <c r="S17" s="601">
        <f t="shared" si="1"/>
        <v>0</v>
      </c>
      <c r="T17" s="606"/>
      <c r="U17" s="606"/>
      <c r="V17" s="760"/>
      <c r="W17" s="748"/>
      <c r="X17" s="594"/>
    </row>
    <row r="18" spans="1:24" ht="33" customHeight="1" hidden="1" thickTop="1">
      <c r="A18" s="599" t="s">
        <v>446</v>
      </c>
      <c r="B18" s="600" t="s">
        <v>204</v>
      </c>
      <c r="C18" s="606"/>
      <c r="D18" s="606"/>
      <c r="E18" s="606"/>
      <c r="F18" s="606"/>
      <c r="G18" s="606"/>
      <c r="H18" s="606"/>
      <c r="I18" s="604"/>
      <c r="J18" s="606"/>
      <c r="K18" s="606"/>
      <c r="L18" s="606"/>
      <c r="M18" s="606"/>
      <c r="N18" s="606"/>
      <c r="O18" s="606"/>
      <c r="P18" s="604"/>
      <c r="Q18" s="606"/>
      <c r="R18" s="606"/>
      <c r="S18" s="606"/>
      <c r="T18" s="606"/>
      <c r="U18" s="606"/>
      <c r="V18" s="606"/>
      <c r="W18" s="748"/>
      <c r="X18" s="763"/>
    </row>
    <row r="19" spans="1:24" ht="33" customHeight="1" hidden="1">
      <c r="A19" s="824" t="s">
        <v>436</v>
      </c>
      <c r="B19" s="825" t="s">
        <v>204</v>
      </c>
      <c r="C19" s="826"/>
      <c r="D19" s="826"/>
      <c r="E19" s="826"/>
      <c r="F19" s="826"/>
      <c r="G19" s="826"/>
      <c r="H19" s="826"/>
      <c r="I19" s="827"/>
      <c r="J19" s="826"/>
      <c r="K19" s="826"/>
      <c r="L19" s="826"/>
      <c r="M19" s="826"/>
      <c r="N19" s="826"/>
      <c r="O19" s="826"/>
      <c r="P19" s="827"/>
      <c r="Q19" s="826"/>
      <c r="R19" s="826"/>
      <c r="S19" s="826"/>
      <c r="T19" s="826"/>
      <c r="U19" s="826"/>
      <c r="V19" s="826"/>
      <c r="W19" s="748"/>
      <c r="X19" s="763"/>
    </row>
    <row r="20" spans="1:24" ht="33" customHeight="1" hidden="1" thickBot="1">
      <c r="A20" s="758" t="s">
        <v>526</v>
      </c>
      <c r="B20" s="759" t="s">
        <v>204</v>
      </c>
      <c r="C20" s="760"/>
      <c r="D20" s="760"/>
      <c r="E20" s="760"/>
      <c r="F20" s="760"/>
      <c r="G20" s="760"/>
      <c r="H20" s="760"/>
      <c r="I20" s="761"/>
      <c r="J20" s="760"/>
      <c r="K20" s="760"/>
      <c r="L20" s="760"/>
      <c r="M20" s="760"/>
      <c r="N20" s="760"/>
      <c r="O20" s="760"/>
      <c r="P20" s="761"/>
      <c r="Q20" s="760"/>
      <c r="R20" s="760"/>
      <c r="S20" s="760"/>
      <c r="T20" s="760"/>
      <c r="U20" s="760"/>
      <c r="V20" s="760"/>
      <c r="W20" s="748"/>
      <c r="X20" s="763"/>
    </row>
    <row r="21" spans="1:24" ht="39" customHeight="1" thickBot="1" thickTop="1">
      <c r="A21" s="607" t="s">
        <v>20</v>
      </c>
      <c r="B21" s="608"/>
      <c r="C21" s="609">
        <f aca="true" t="shared" si="2" ref="C21:H21">SUM(C10:C18)</f>
        <v>2250000</v>
      </c>
      <c r="D21" s="609">
        <f>SUM(D10:D18)</f>
        <v>2250000</v>
      </c>
      <c r="E21" s="609">
        <f>SUM(E10:E18)</f>
        <v>2250000</v>
      </c>
      <c r="F21" s="609">
        <f t="shared" si="2"/>
        <v>2282000</v>
      </c>
      <c r="G21" s="609">
        <f t="shared" si="2"/>
        <v>1454000</v>
      </c>
      <c r="H21" s="609">
        <f t="shared" si="2"/>
        <v>0</v>
      </c>
      <c r="I21" s="1655">
        <f>SUM(G21/F21)</f>
        <v>0.6371603856266433</v>
      </c>
      <c r="J21" s="609">
        <f>SUM(J10:J18)</f>
        <v>0</v>
      </c>
      <c r="K21" s="609">
        <f>SUM(K10:K18)</f>
        <v>0</v>
      </c>
      <c r="L21" s="609">
        <f>SUM(L10:L18)</f>
        <v>0</v>
      </c>
      <c r="M21" s="609">
        <f>SUM(M10:M18)</f>
        <v>0</v>
      </c>
      <c r="N21" s="609">
        <f>SUM(N10:N18)</f>
        <v>0</v>
      </c>
      <c r="O21" s="609">
        <f>SUM(O10:P20)</f>
        <v>0</v>
      </c>
      <c r="P21" s="609">
        <f aca="true" t="shared" si="3" ref="P21:U21">SUM(P10:P18)</f>
        <v>0</v>
      </c>
      <c r="Q21" s="609">
        <f t="shared" si="3"/>
        <v>2250000</v>
      </c>
      <c r="R21" s="609">
        <f t="shared" si="3"/>
        <v>2250000</v>
      </c>
      <c r="S21" s="609">
        <f t="shared" si="3"/>
        <v>2250000</v>
      </c>
      <c r="T21" s="609">
        <f t="shared" si="3"/>
        <v>2282000</v>
      </c>
      <c r="U21" s="609">
        <f t="shared" si="3"/>
        <v>1454000</v>
      </c>
      <c r="V21" s="609">
        <f>SUM(V10:V20)</f>
        <v>0</v>
      </c>
      <c r="W21" s="610">
        <f>U21/T21</f>
        <v>0.6371603856266433</v>
      </c>
      <c r="X21" s="763"/>
    </row>
    <row r="22" spans="1:24" ht="19.5" customHeight="1">
      <c r="A22" s="611"/>
      <c r="B22" s="611"/>
      <c r="C22" s="612"/>
      <c r="D22" s="612"/>
      <c r="E22" s="612"/>
      <c r="F22" s="612"/>
      <c r="G22" s="612"/>
      <c r="H22" s="612"/>
      <c r="I22" s="612"/>
      <c r="J22" s="612"/>
      <c r="K22" s="612"/>
      <c r="L22" s="612"/>
      <c r="M22" s="612"/>
      <c r="N22" s="612"/>
      <c r="O22" s="612"/>
      <c r="P22" s="612"/>
      <c r="Q22" s="612"/>
      <c r="V22" s="22"/>
      <c r="X22" s="613"/>
    </row>
    <row r="23" spans="1:17" ht="66" customHeight="1" hidden="1" thickBot="1">
      <c r="A23" s="1958" t="s">
        <v>369</v>
      </c>
      <c r="B23" s="1958"/>
      <c r="C23" s="1958"/>
      <c r="D23" s="1958"/>
      <c r="E23" s="1958"/>
      <c r="F23" s="1958"/>
      <c r="G23" s="1958"/>
      <c r="H23" s="1958"/>
      <c r="I23" s="1958"/>
      <c r="J23" s="1958"/>
      <c r="K23" s="1958"/>
      <c r="L23" s="1958"/>
      <c r="M23" s="1958"/>
      <c r="N23" s="1958"/>
      <c r="O23" s="1958"/>
      <c r="P23" s="1958"/>
      <c r="Q23" s="1958"/>
    </row>
    <row r="24" spans="1:24" ht="19.5" customHeight="1" hidden="1">
      <c r="A24" s="1959" t="s">
        <v>365</v>
      </c>
      <c r="B24" s="1962" t="s">
        <v>366</v>
      </c>
      <c r="C24" s="1965" t="s">
        <v>4</v>
      </c>
      <c r="D24" s="1966"/>
      <c r="E24" s="1966"/>
      <c r="F24" s="1966"/>
      <c r="G24" s="1966"/>
      <c r="H24" s="1966"/>
      <c r="I24" s="1967"/>
      <c r="J24" s="1965" t="s">
        <v>367</v>
      </c>
      <c r="K24" s="1966"/>
      <c r="L24" s="1966"/>
      <c r="M24" s="1966"/>
      <c r="N24" s="1966"/>
      <c r="O24" s="1966"/>
      <c r="P24" s="1967"/>
      <c r="Q24" s="1965" t="s">
        <v>25</v>
      </c>
      <c r="R24" s="1966"/>
      <c r="S24" s="1966"/>
      <c r="T24" s="1966"/>
      <c r="U24" s="1966"/>
      <c r="V24" s="1966"/>
      <c r="W24" s="1974"/>
      <c r="X24" s="594"/>
    </row>
    <row r="25" spans="1:24" s="615" customFormat="1" ht="19.5" customHeight="1" hidden="1">
      <c r="A25" s="1960"/>
      <c r="B25" s="1963"/>
      <c r="C25" s="1968"/>
      <c r="D25" s="1969"/>
      <c r="E25" s="1969"/>
      <c r="F25" s="1969"/>
      <c r="G25" s="1969"/>
      <c r="H25" s="1969"/>
      <c r="I25" s="1970"/>
      <c r="J25" s="1968"/>
      <c r="K25" s="1969"/>
      <c r="L25" s="1969"/>
      <c r="M25" s="1969"/>
      <c r="N25" s="1969"/>
      <c r="O25" s="1969"/>
      <c r="P25" s="1970"/>
      <c r="Q25" s="1968"/>
      <c r="R25" s="1969"/>
      <c r="S25" s="1969"/>
      <c r="T25" s="1969"/>
      <c r="U25" s="1969"/>
      <c r="V25" s="1969"/>
      <c r="W25" s="1975"/>
      <c r="X25" s="614"/>
    </row>
    <row r="26" spans="1:24" s="615" customFormat="1" ht="19.5" customHeight="1" hidden="1" thickBot="1">
      <c r="A26" s="1961"/>
      <c r="B26" s="1964"/>
      <c r="C26" s="1971"/>
      <c r="D26" s="1972"/>
      <c r="E26" s="1972"/>
      <c r="F26" s="1972"/>
      <c r="G26" s="1972"/>
      <c r="H26" s="1972"/>
      <c r="I26" s="1973"/>
      <c r="J26" s="1971"/>
      <c r="K26" s="1972"/>
      <c r="L26" s="1972"/>
      <c r="M26" s="1972"/>
      <c r="N26" s="1972"/>
      <c r="O26" s="1972"/>
      <c r="P26" s="1973"/>
      <c r="Q26" s="1971"/>
      <c r="R26" s="1972"/>
      <c r="S26" s="1972"/>
      <c r="T26" s="1972"/>
      <c r="U26" s="1972"/>
      <c r="V26" s="1972"/>
      <c r="W26" s="1976"/>
      <c r="X26" s="614"/>
    </row>
    <row r="27" spans="1:24" s="615" customFormat="1" ht="57.75" customHeight="1" hidden="1" thickTop="1">
      <c r="A27" s="616"/>
      <c r="B27" s="617"/>
      <c r="C27" s="597" t="s">
        <v>64</v>
      </c>
      <c r="D27" s="597" t="s">
        <v>220</v>
      </c>
      <c r="E27" s="597" t="s">
        <v>223</v>
      </c>
      <c r="F27" s="596" t="s">
        <v>225</v>
      </c>
      <c r="G27" s="597" t="s">
        <v>237</v>
      </c>
      <c r="H27" s="597" t="s">
        <v>242</v>
      </c>
      <c r="I27" s="597" t="s">
        <v>229</v>
      </c>
      <c r="J27" s="597" t="s">
        <v>64</v>
      </c>
      <c r="K27" s="597" t="s">
        <v>220</v>
      </c>
      <c r="L27" s="597" t="s">
        <v>223</v>
      </c>
      <c r="M27" s="596" t="s">
        <v>225</v>
      </c>
      <c r="N27" s="597" t="s">
        <v>237</v>
      </c>
      <c r="O27" s="597" t="s">
        <v>242</v>
      </c>
      <c r="P27" s="597" t="s">
        <v>229</v>
      </c>
      <c r="Q27" s="597" t="s">
        <v>64</v>
      </c>
      <c r="R27" s="597" t="s">
        <v>220</v>
      </c>
      <c r="S27" s="597" t="s">
        <v>223</v>
      </c>
      <c r="T27" s="597" t="s">
        <v>225</v>
      </c>
      <c r="U27" s="597" t="s">
        <v>237</v>
      </c>
      <c r="V27" s="597" t="s">
        <v>242</v>
      </c>
      <c r="W27" s="598" t="s">
        <v>229</v>
      </c>
      <c r="X27" s="614"/>
    </row>
    <row r="28" spans="1:24" s="615" customFormat="1" ht="34.5" customHeight="1" hidden="1">
      <c r="A28" s="618" t="s">
        <v>506</v>
      </c>
      <c r="B28" s="619" t="s">
        <v>204</v>
      </c>
      <c r="C28" s="621"/>
      <c r="D28" s="621"/>
      <c r="E28" s="621"/>
      <c r="F28" s="621"/>
      <c r="G28" s="621"/>
      <c r="H28" s="621"/>
      <c r="I28" s="603"/>
      <c r="J28" s="621"/>
      <c r="K28" s="621"/>
      <c r="L28" s="621"/>
      <c r="M28" s="621"/>
      <c r="N28" s="621">
        <v>211000</v>
      </c>
      <c r="O28" s="621">
        <v>392000</v>
      </c>
      <c r="P28" s="603"/>
      <c r="Q28" s="621"/>
      <c r="R28" s="621"/>
      <c r="S28" s="621"/>
      <c r="T28" s="621"/>
      <c r="U28" s="620"/>
      <c r="V28" s="620"/>
      <c r="W28" s="603" t="e">
        <f>U28/R28</f>
        <v>#DIV/0!</v>
      </c>
      <c r="X28" s="614"/>
    </row>
    <row r="29" spans="1:24" s="615" customFormat="1" ht="15" hidden="1">
      <c r="A29" s="622" t="s">
        <v>370</v>
      </c>
      <c r="B29" s="623" t="s">
        <v>204</v>
      </c>
      <c r="C29" s="621"/>
      <c r="D29" s="621"/>
      <c r="E29" s="621"/>
      <c r="F29" s="621"/>
      <c r="G29" s="621"/>
      <c r="H29" s="621"/>
      <c r="I29" s="603"/>
      <c r="J29" s="621"/>
      <c r="K29" s="621"/>
      <c r="L29" s="621"/>
      <c r="M29" s="621"/>
      <c r="N29" s="621"/>
      <c r="O29" s="620"/>
      <c r="P29" s="603"/>
      <c r="Q29" s="620"/>
      <c r="R29" s="620"/>
      <c r="S29" s="620"/>
      <c r="T29" s="621"/>
      <c r="U29" s="621"/>
      <c r="V29" s="621"/>
      <c r="W29" s="603" t="e">
        <f>U29/R29</f>
        <v>#DIV/0!</v>
      </c>
      <c r="X29" s="614"/>
    </row>
    <row r="30" spans="1:24" s="615" customFormat="1" ht="30.75" customHeight="1" hidden="1">
      <c r="A30" s="622" t="s">
        <v>371</v>
      </c>
      <c r="B30" s="623" t="s">
        <v>204</v>
      </c>
      <c r="C30" s="621"/>
      <c r="D30" s="621"/>
      <c r="E30" s="621"/>
      <c r="F30" s="621"/>
      <c r="G30" s="621"/>
      <c r="H30" s="621"/>
      <c r="I30" s="603"/>
      <c r="J30" s="621"/>
      <c r="K30" s="621"/>
      <c r="L30" s="621"/>
      <c r="M30" s="621"/>
      <c r="N30" s="621"/>
      <c r="O30" s="620"/>
      <c r="P30" s="603"/>
      <c r="Q30" s="620"/>
      <c r="R30" s="620"/>
      <c r="S30" s="620"/>
      <c r="T30" s="621"/>
      <c r="U30" s="621"/>
      <c r="V30" s="621"/>
      <c r="W30" s="603" t="e">
        <f>U30/R30</f>
        <v>#DIV/0!</v>
      </c>
      <c r="X30" s="614"/>
    </row>
    <row r="31" spans="1:24" s="615" customFormat="1" ht="31.5" customHeight="1" hidden="1">
      <c r="A31" s="622" t="s">
        <v>372</v>
      </c>
      <c r="B31" s="623" t="s">
        <v>204</v>
      </c>
      <c r="C31" s="621"/>
      <c r="D31" s="621"/>
      <c r="E31" s="621"/>
      <c r="F31" s="621"/>
      <c r="G31" s="621"/>
      <c r="H31" s="621"/>
      <c r="I31" s="603"/>
      <c r="J31" s="621"/>
      <c r="K31" s="621"/>
      <c r="L31" s="621"/>
      <c r="M31" s="621"/>
      <c r="N31" s="621"/>
      <c r="O31" s="621"/>
      <c r="P31" s="603"/>
      <c r="Q31" s="620"/>
      <c r="R31" s="620"/>
      <c r="S31" s="620"/>
      <c r="T31" s="621"/>
      <c r="U31" s="621"/>
      <c r="V31" s="621"/>
      <c r="W31" s="603" t="e">
        <f>U31/R31</f>
        <v>#DIV/0!</v>
      </c>
      <c r="X31" s="614"/>
    </row>
    <row r="32" spans="1:24" s="615" customFormat="1" ht="31.5" customHeight="1" hidden="1">
      <c r="A32" s="622" t="s">
        <v>373</v>
      </c>
      <c r="B32" s="623" t="s">
        <v>204</v>
      </c>
      <c r="C32" s="606"/>
      <c r="D32" s="606"/>
      <c r="E32" s="606"/>
      <c r="F32" s="606"/>
      <c r="G32" s="606"/>
      <c r="H32" s="606"/>
      <c r="I32" s="605" t="e">
        <f>G32/E32</f>
        <v>#DIV/0!</v>
      </c>
      <c r="J32" s="606"/>
      <c r="K32" s="606"/>
      <c r="L32" s="606"/>
      <c r="M32" s="606"/>
      <c r="N32" s="606"/>
      <c r="O32" s="752"/>
      <c r="P32" s="605" t="e">
        <f>N32/L32</f>
        <v>#DIV/0!</v>
      </c>
      <c r="Q32" s="606"/>
      <c r="R32" s="606"/>
      <c r="S32" s="606"/>
      <c r="T32" s="606"/>
      <c r="U32" s="606">
        <f>G32-N32</f>
        <v>0</v>
      </c>
      <c r="V32" s="752"/>
      <c r="W32" s="605" t="e">
        <f>U32/S32</f>
        <v>#DIV/0!</v>
      </c>
      <c r="X32" s="614"/>
    </row>
    <row r="33" spans="1:24" s="615" customFormat="1" ht="27.75" customHeight="1" hidden="1">
      <c r="A33" s="622" t="s">
        <v>374</v>
      </c>
      <c r="B33" s="623" t="s">
        <v>204</v>
      </c>
      <c r="C33" s="606"/>
      <c r="D33" s="606"/>
      <c r="E33" s="606"/>
      <c r="F33" s="606"/>
      <c r="G33" s="606"/>
      <c r="H33" s="606"/>
      <c r="I33" s="605">
        <v>0</v>
      </c>
      <c r="J33" s="606"/>
      <c r="K33" s="606"/>
      <c r="L33" s="606"/>
      <c r="M33" s="606"/>
      <c r="N33" s="606"/>
      <c r="O33" s="752"/>
      <c r="P33" s="605">
        <v>0</v>
      </c>
      <c r="Q33" s="606"/>
      <c r="R33" s="606"/>
      <c r="S33" s="606"/>
      <c r="T33" s="606"/>
      <c r="U33" s="606">
        <f>G33-N33</f>
        <v>0</v>
      </c>
      <c r="V33" s="752"/>
      <c r="W33" s="605">
        <v>0</v>
      </c>
      <c r="X33" s="614"/>
    </row>
    <row r="34" spans="1:24" ht="33" customHeight="1" hidden="1" thickBot="1">
      <c r="A34" s="624" t="s">
        <v>375</v>
      </c>
      <c r="B34" s="625" t="s">
        <v>204</v>
      </c>
      <c r="C34" s="626"/>
      <c r="D34" s="626"/>
      <c r="E34" s="626"/>
      <c r="F34" s="626"/>
      <c r="G34" s="626"/>
      <c r="H34" s="626"/>
      <c r="I34" s="605">
        <v>0</v>
      </c>
      <c r="J34" s="626"/>
      <c r="K34" s="626"/>
      <c r="L34" s="626"/>
      <c r="M34" s="626"/>
      <c r="N34" s="626"/>
      <c r="O34" s="753"/>
      <c r="P34" s="605">
        <v>0</v>
      </c>
      <c r="Q34" s="626"/>
      <c r="R34" s="626"/>
      <c r="S34" s="626"/>
      <c r="T34" s="626"/>
      <c r="U34" s="626">
        <f>G34-N34</f>
        <v>0</v>
      </c>
      <c r="V34" s="753"/>
      <c r="W34" s="605">
        <v>0</v>
      </c>
      <c r="X34" s="594"/>
    </row>
    <row r="35" spans="1:24" ht="33" customHeight="1" hidden="1" thickBot="1" thickTop="1">
      <c r="A35" s="627"/>
      <c r="B35" s="628"/>
      <c r="C35" s="629"/>
      <c r="D35" s="629"/>
      <c r="E35" s="629"/>
      <c r="F35" s="629"/>
      <c r="G35" s="629"/>
      <c r="H35" s="629"/>
      <c r="I35" s="605">
        <v>0</v>
      </c>
      <c r="J35" s="629"/>
      <c r="K35" s="629"/>
      <c r="L35" s="629"/>
      <c r="M35" s="629"/>
      <c r="N35" s="629"/>
      <c r="O35" s="754"/>
      <c r="P35" s="605">
        <v>0</v>
      </c>
      <c r="Q35" s="629"/>
      <c r="R35" s="629"/>
      <c r="S35" s="629"/>
      <c r="T35" s="629"/>
      <c r="U35" s="629">
        <f>G35-N35</f>
        <v>0</v>
      </c>
      <c r="V35" s="754"/>
      <c r="W35" s="605">
        <v>0</v>
      </c>
      <c r="X35" s="594"/>
    </row>
    <row r="36" spans="1:24" ht="33" customHeight="1" hidden="1" thickBot="1" thickTop="1">
      <c r="A36" s="607" t="s">
        <v>20</v>
      </c>
      <c r="B36" s="608"/>
      <c r="C36" s="609">
        <f aca="true" t="shared" si="4" ref="C36:H36">SUM(C28:C34)</f>
        <v>0</v>
      </c>
      <c r="D36" s="609">
        <f t="shared" si="4"/>
        <v>0</v>
      </c>
      <c r="E36" s="609">
        <f t="shared" si="4"/>
        <v>0</v>
      </c>
      <c r="F36" s="609">
        <f t="shared" si="4"/>
        <v>0</v>
      </c>
      <c r="G36" s="609">
        <f t="shared" si="4"/>
        <v>0</v>
      </c>
      <c r="H36" s="609">
        <f t="shared" si="4"/>
        <v>0</v>
      </c>
      <c r="I36" s="610" t="e">
        <f>G36/D36</f>
        <v>#DIV/0!</v>
      </c>
      <c r="J36" s="609">
        <f aca="true" t="shared" si="5" ref="J36:O36">SUM(J28:J34)</f>
        <v>0</v>
      </c>
      <c r="K36" s="609">
        <f t="shared" si="5"/>
        <v>0</v>
      </c>
      <c r="L36" s="609">
        <f t="shared" si="5"/>
        <v>0</v>
      </c>
      <c r="M36" s="609">
        <f t="shared" si="5"/>
        <v>0</v>
      </c>
      <c r="N36" s="609">
        <f t="shared" si="5"/>
        <v>211000</v>
      </c>
      <c r="O36" s="609">
        <f t="shared" si="5"/>
        <v>392000</v>
      </c>
      <c r="P36" s="610" t="e">
        <f>N36/K36</f>
        <v>#DIV/0!</v>
      </c>
      <c r="Q36" s="609">
        <f aca="true" t="shared" si="6" ref="Q36:V36">SUM(Q28:Q34)</f>
        <v>0</v>
      </c>
      <c r="R36" s="609">
        <f t="shared" si="6"/>
        <v>0</v>
      </c>
      <c r="S36" s="609">
        <f t="shared" si="6"/>
        <v>0</v>
      </c>
      <c r="T36" s="609">
        <f t="shared" si="6"/>
        <v>0</v>
      </c>
      <c r="U36" s="609">
        <f t="shared" si="6"/>
        <v>0</v>
      </c>
      <c r="V36" s="609">
        <f t="shared" si="6"/>
        <v>0</v>
      </c>
      <c r="W36" s="610" t="e">
        <f>U36/R36</f>
        <v>#DIV/0!</v>
      </c>
      <c r="X36" s="594"/>
    </row>
    <row r="39" ht="12.75">
      <c r="K39" s="630"/>
    </row>
    <row r="40" ht="12.75">
      <c r="K40" s="630"/>
    </row>
    <row r="41" ht="12.75">
      <c r="K41" s="630"/>
    </row>
    <row r="42" ht="12.75">
      <c r="K42" s="630"/>
    </row>
  </sheetData>
  <sheetProtection/>
  <mergeCells count="15">
    <mergeCell ref="J1:U1"/>
    <mergeCell ref="A2:Q2"/>
    <mergeCell ref="A3:Q3"/>
    <mergeCell ref="A4:Q4"/>
    <mergeCell ref="A6:A8"/>
    <mergeCell ref="B6:B8"/>
    <mergeCell ref="C6:I8"/>
    <mergeCell ref="J6:P8"/>
    <mergeCell ref="Q6:W8"/>
    <mergeCell ref="A23:Q23"/>
    <mergeCell ref="A24:A26"/>
    <mergeCell ref="B24:B26"/>
    <mergeCell ref="C24:I26"/>
    <mergeCell ref="J24:P26"/>
    <mergeCell ref="Q24:W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24"/>
  <sheetViews>
    <sheetView view="pageBreakPreview" zoomScale="60" zoomScaleNormal="70" workbookViewId="0" topLeftCell="A1">
      <pane ySplit="9" topLeftCell="A11" activePane="bottomLeft" state="frozen"/>
      <selection pane="topLeft" activeCell="A1" sqref="A1"/>
      <selection pane="bottomLeft" activeCell="AA3" sqref="AA3"/>
    </sheetView>
  </sheetViews>
  <sheetFormatPr defaultColWidth="9.140625" defaultRowHeight="12.75"/>
  <cols>
    <col min="1" max="1" width="53.00390625" style="270" customWidth="1"/>
    <col min="2" max="2" width="17.140625" style="13" bestFit="1" customWidth="1"/>
    <col min="3" max="3" width="17.140625" style="13" hidden="1" customWidth="1"/>
    <col min="4" max="4" width="16.421875" style="13" hidden="1" customWidth="1"/>
    <col min="5" max="5" width="16.421875" style="13" customWidth="1"/>
    <col min="6" max="6" width="15.7109375" style="13" hidden="1" customWidth="1"/>
    <col min="7" max="7" width="16.00390625" style="13" customWidth="1"/>
    <col min="8" max="8" width="17.28125" style="13" customWidth="1"/>
    <col min="9" max="9" width="17.140625" style="13" customWidth="1"/>
    <col min="10" max="10" width="15.57421875" style="13" hidden="1" customWidth="1"/>
    <col min="11" max="11" width="15.7109375" style="13" hidden="1" customWidth="1"/>
    <col min="12" max="12" width="15.00390625" style="13" customWidth="1"/>
    <col min="13" max="13" width="17.421875" style="13" customWidth="1"/>
    <col min="14" max="14" width="17.28125" style="13" hidden="1" customWidth="1"/>
    <col min="15" max="15" width="14.57421875" style="13" hidden="1" customWidth="1"/>
    <col min="16" max="16" width="13.421875" style="13" customWidth="1"/>
    <col min="17" max="17" width="16.7109375" style="13" customWidth="1"/>
    <col min="18" max="18" width="8.421875" style="13" customWidth="1"/>
    <col min="19" max="19" width="10.140625" style="13" customWidth="1"/>
    <col min="20" max="20" width="11.7109375" style="13" customWidth="1"/>
    <col min="21" max="21" width="11.57421875" style="13" hidden="1" customWidth="1"/>
    <col min="22" max="22" width="17.57421875" style="13" customWidth="1"/>
    <col min="23" max="23" width="13.8515625" style="13" hidden="1" customWidth="1"/>
    <col min="24" max="24" width="14.8515625" style="13" hidden="1" customWidth="1"/>
    <col min="25" max="25" width="19.140625" style="13" customWidth="1"/>
    <col min="26" max="26" width="14.7109375" style="13" hidden="1" customWidth="1"/>
    <col min="27" max="27" width="14.421875" style="13" customWidth="1"/>
    <col min="28" max="28" width="15.421875" style="13" customWidth="1"/>
    <col min="29" max="29" width="15.28125" style="13" customWidth="1"/>
    <col min="30" max="16384" width="9.140625" style="13" customWidth="1"/>
  </cols>
  <sheetData>
    <row r="1" spans="17:26" ht="12.75" customHeight="1">
      <c r="Q1" s="1982" t="s">
        <v>1022</v>
      </c>
      <c r="R1" s="1982"/>
      <c r="S1" s="1982"/>
      <c r="T1" s="1982"/>
      <c r="U1" s="1982"/>
      <c r="V1" s="1982"/>
      <c r="W1" s="1982"/>
      <c r="X1" s="1982"/>
      <c r="Y1" s="1982"/>
      <c r="Z1" s="1982"/>
    </row>
    <row r="2" spans="1:22" ht="18">
      <c r="A2" s="2010" t="s">
        <v>475</v>
      </c>
      <c r="B2" s="2010"/>
      <c r="C2" s="2010"/>
      <c r="D2" s="2010"/>
      <c r="E2" s="2010"/>
      <c r="F2" s="2010"/>
      <c r="G2" s="2010"/>
      <c r="H2" s="2010"/>
      <c r="I2" s="2010"/>
      <c r="J2" s="2010"/>
      <c r="K2" s="2010"/>
      <c r="L2" s="2010"/>
      <c r="M2" s="2010"/>
      <c r="N2" s="2010"/>
      <c r="O2" s="2010"/>
      <c r="P2" s="2010"/>
      <c r="Q2" s="2010"/>
      <c r="R2" s="2010"/>
      <c r="S2" s="2010"/>
      <c r="T2" s="2010"/>
      <c r="U2" s="2010"/>
      <c r="V2" s="2010"/>
    </row>
    <row r="3" spans="1:22" ht="15.75">
      <c r="A3" s="2011" t="s">
        <v>594</v>
      </c>
      <c r="B3" s="2011"/>
      <c r="C3" s="2011"/>
      <c r="D3" s="2011"/>
      <c r="E3" s="2011"/>
      <c r="F3" s="2011"/>
      <c r="G3" s="2011"/>
      <c r="H3" s="2011"/>
      <c r="I3" s="2011"/>
      <c r="J3" s="2011"/>
      <c r="K3" s="2011"/>
      <c r="L3" s="2011"/>
      <c r="M3" s="2011"/>
      <c r="N3" s="2011"/>
      <c r="O3" s="2011"/>
      <c r="P3" s="2011"/>
      <c r="Q3" s="2011"/>
      <c r="R3" s="2011"/>
      <c r="S3" s="2011"/>
      <c r="T3" s="2011"/>
      <c r="U3" s="2011"/>
      <c r="V3" s="2011"/>
    </row>
    <row r="4" spans="1:22" ht="14.25">
      <c r="A4" s="2012" t="s">
        <v>191</v>
      </c>
      <c r="B4" s="2012"/>
      <c r="C4" s="2012"/>
      <c r="D4" s="2012"/>
      <c r="E4" s="2012"/>
      <c r="F4" s="2012"/>
      <c r="G4" s="2012"/>
      <c r="H4" s="2012"/>
      <c r="I4" s="2012"/>
      <c r="J4" s="2012"/>
      <c r="K4" s="2012"/>
      <c r="L4" s="2012"/>
      <c r="M4" s="2012"/>
      <c r="N4" s="2012"/>
      <c r="O4" s="2012"/>
      <c r="P4" s="2012"/>
      <c r="Q4" s="2012"/>
      <c r="R4" s="2012"/>
      <c r="S4" s="2012"/>
      <c r="T4" s="2012"/>
      <c r="U4" s="2012"/>
      <c r="V4" s="2012"/>
    </row>
    <row r="5" spans="1:22" ht="14.25">
      <c r="A5" s="802"/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29">
        <f>SUM(O11,O19)</f>
        <v>0</v>
      </c>
      <c r="P5" s="802"/>
      <c r="Q5" s="802"/>
      <c r="R5" s="802"/>
      <c r="S5" s="802"/>
      <c r="T5" s="802"/>
      <c r="U5" s="802"/>
      <c r="V5" s="802"/>
    </row>
    <row r="6" spans="1:22" ht="18.75" thickBot="1">
      <c r="A6" s="804" t="s">
        <v>476</v>
      </c>
      <c r="V6" s="10" t="s">
        <v>445</v>
      </c>
    </row>
    <row r="7" spans="1:29" ht="24.75" customHeight="1">
      <c r="A7" s="2000" t="s">
        <v>21</v>
      </c>
      <c r="B7" s="2002" t="s">
        <v>22</v>
      </c>
      <c r="C7" s="2003"/>
      <c r="D7" s="2003"/>
      <c r="E7" s="2003"/>
      <c r="F7" s="2003"/>
      <c r="G7" s="2003"/>
      <c r="H7" s="2003"/>
      <c r="I7" s="2003"/>
      <c r="J7" s="2003"/>
      <c r="K7" s="2003"/>
      <c r="L7" s="2003"/>
      <c r="M7" s="2003"/>
      <c r="N7" s="2003"/>
      <c r="O7" s="2003"/>
      <c r="P7" s="2003"/>
      <c r="Q7" s="2004" t="s">
        <v>23</v>
      </c>
      <c r="R7" s="2005"/>
      <c r="S7" s="2005"/>
      <c r="T7" s="2005"/>
      <c r="U7" s="2005"/>
      <c r="V7" s="2005"/>
      <c r="W7" s="2005"/>
      <c r="X7" s="2005"/>
      <c r="Y7" s="2005"/>
      <c r="Z7" s="2005"/>
      <c r="AA7" s="2002"/>
      <c r="AB7" s="2006"/>
      <c r="AC7" s="487"/>
    </row>
    <row r="8" spans="1:29" ht="24.75" customHeight="1">
      <c r="A8" s="2001"/>
      <c r="B8" s="1998" t="s">
        <v>62</v>
      </c>
      <c r="C8" s="2007"/>
      <c r="D8" s="2007"/>
      <c r="E8" s="2007"/>
      <c r="F8" s="2007"/>
      <c r="G8" s="2007"/>
      <c r="H8" s="2008"/>
      <c r="I8" s="1998" t="s">
        <v>63</v>
      </c>
      <c r="J8" s="2007"/>
      <c r="K8" s="2007"/>
      <c r="L8" s="2007"/>
      <c r="M8" s="2007"/>
      <c r="N8" s="2007"/>
      <c r="O8" s="2007"/>
      <c r="P8" s="2007"/>
      <c r="Q8" s="2009" t="s">
        <v>62</v>
      </c>
      <c r="R8" s="1997"/>
      <c r="S8" s="1997"/>
      <c r="T8" s="1997"/>
      <c r="U8" s="1997"/>
      <c r="V8" s="1997" t="s">
        <v>63</v>
      </c>
      <c r="W8" s="1997"/>
      <c r="X8" s="1997"/>
      <c r="Y8" s="1997"/>
      <c r="Z8" s="1997"/>
      <c r="AA8" s="1998"/>
      <c r="AB8" s="1999"/>
      <c r="AC8" s="487"/>
    </row>
    <row r="9" spans="1:29" ht="42" customHeight="1">
      <c r="A9" s="264"/>
      <c r="B9" s="265" t="s">
        <v>221</v>
      </c>
      <c r="C9" s="265" t="s">
        <v>219</v>
      </c>
      <c r="D9" s="489" t="s">
        <v>224</v>
      </c>
      <c r="E9" s="265" t="s">
        <v>226</v>
      </c>
      <c r="F9" s="265" t="s">
        <v>435</v>
      </c>
      <c r="G9" s="756" t="s">
        <v>383</v>
      </c>
      <c r="H9" s="265" t="s">
        <v>229</v>
      </c>
      <c r="I9" s="265" t="s">
        <v>221</v>
      </c>
      <c r="J9" s="1153" t="s">
        <v>219</v>
      </c>
      <c r="K9" s="1298" t="s">
        <v>224</v>
      </c>
      <c r="L9" s="741" t="s">
        <v>226</v>
      </c>
      <c r="M9" s="265" t="s">
        <v>383</v>
      </c>
      <c r="N9" s="265" t="s">
        <v>439</v>
      </c>
      <c r="O9" s="756" t="s">
        <v>383</v>
      </c>
      <c r="P9" s="745" t="s">
        <v>229</v>
      </c>
      <c r="Q9" s="742" t="s">
        <v>221</v>
      </c>
      <c r="R9" s="265" t="s">
        <v>219</v>
      </c>
      <c r="S9" s="489" t="s">
        <v>224</v>
      </c>
      <c r="T9" s="265" t="s">
        <v>226</v>
      </c>
      <c r="U9" s="265" t="s">
        <v>439</v>
      </c>
      <c r="V9" s="265" t="s">
        <v>221</v>
      </c>
      <c r="W9" s="265" t="s">
        <v>219</v>
      </c>
      <c r="X9" s="489" t="s">
        <v>224</v>
      </c>
      <c r="Y9" s="265" t="s">
        <v>226</v>
      </c>
      <c r="Z9" s="265" t="s">
        <v>435</v>
      </c>
      <c r="AA9" s="265" t="s">
        <v>383</v>
      </c>
      <c r="AB9" s="265" t="s">
        <v>229</v>
      </c>
      <c r="AC9" s="487"/>
    </row>
    <row r="10" spans="1:29" ht="18">
      <c r="A10" s="2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38"/>
      <c r="P10" s="691"/>
      <c r="Q10" s="340"/>
      <c r="R10" s="29"/>
      <c r="S10" s="29"/>
      <c r="T10" s="29"/>
      <c r="U10" s="29"/>
      <c r="V10" s="31"/>
      <c r="W10" s="31"/>
      <c r="X10" s="31"/>
      <c r="Y10" s="31"/>
      <c r="Z10" s="31"/>
      <c r="AA10" s="339"/>
      <c r="AB10" s="49"/>
      <c r="AC10" s="487"/>
    </row>
    <row r="11" spans="1:29" ht="18">
      <c r="A11" s="25" t="s">
        <v>538</v>
      </c>
      <c r="B11" s="28"/>
      <c r="C11" s="28"/>
      <c r="D11" s="28"/>
      <c r="E11" s="28"/>
      <c r="F11" s="28"/>
      <c r="G11" s="28"/>
      <c r="H11" s="28"/>
      <c r="I11" s="28"/>
      <c r="J11" s="28">
        <v>7610000</v>
      </c>
      <c r="K11" s="28">
        <v>7610000</v>
      </c>
      <c r="L11" s="28">
        <v>3500000</v>
      </c>
      <c r="M11" s="28">
        <v>3500000</v>
      </c>
      <c r="N11" s="28"/>
      <c r="O11" s="828"/>
      <c r="P11" s="1636">
        <f>M11/L11</f>
        <v>1</v>
      </c>
      <c r="Q11" s="340"/>
      <c r="R11" s="29"/>
      <c r="S11" s="29"/>
      <c r="T11" s="29"/>
      <c r="U11" s="29"/>
      <c r="V11" s="31"/>
      <c r="W11" s="31"/>
      <c r="X11" s="31"/>
      <c r="Y11" s="31"/>
      <c r="Z11" s="31"/>
      <c r="AA11" s="31"/>
      <c r="AB11" s="49"/>
      <c r="AC11" s="487"/>
    </row>
    <row r="12" spans="1:29" ht="18" hidden="1">
      <c r="A12" s="25" t="s">
        <v>493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828"/>
      <c r="P12" s="1635"/>
      <c r="Q12" s="340"/>
      <c r="R12" s="29"/>
      <c r="S12" s="29"/>
      <c r="T12" s="29"/>
      <c r="U12" s="29"/>
      <c r="V12" s="31"/>
      <c r="W12" s="31"/>
      <c r="X12" s="31"/>
      <c r="Y12" s="31"/>
      <c r="Z12" s="31"/>
      <c r="AA12" s="31"/>
      <c r="AB12" s="49"/>
      <c r="AC12" s="487"/>
    </row>
    <row r="13" spans="1:29" ht="30.75" hidden="1">
      <c r="A13" s="25" t="s">
        <v>501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38"/>
      <c r="P13" s="338"/>
      <c r="Q13" s="340"/>
      <c r="R13" s="29"/>
      <c r="S13" s="29"/>
      <c r="T13" s="29"/>
      <c r="U13" s="29"/>
      <c r="V13" s="31"/>
      <c r="W13" s="31"/>
      <c r="X13" s="31"/>
      <c r="Y13" s="31"/>
      <c r="Z13" s="31"/>
      <c r="AA13" s="31"/>
      <c r="AB13" s="49"/>
      <c r="AC13" s="487"/>
    </row>
    <row r="14" spans="1:29" ht="18" hidden="1">
      <c r="A14" s="26" t="s">
        <v>213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38"/>
      <c r="P14" s="691"/>
      <c r="Q14" s="340"/>
      <c r="R14" s="29"/>
      <c r="S14" s="29"/>
      <c r="T14" s="29"/>
      <c r="U14" s="29"/>
      <c r="V14" s="31"/>
      <c r="W14" s="31"/>
      <c r="X14" s="31"/>
      <c r="Y14" s="31"/>
      <c r="Z14" s="31"/>
      <c r="AA14" s="31"/>
      <c r="AB14" s="49"/>
      <c r="AC14" s="487"/>
    </row>
    <row r="15" spans="1:29" ht="18" hidden="1">
      <c r="A15" s="26" t="s">
        <v>214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38"/>
      <c r="P15" s="691"/>
      <c r="Q15" s="340"/>
      <c r="R15" s="29"/>
      <c r="S15" s="29"/>
      <c r="T15" s="29"/>
      <c r="U15" s="29"/>
      <c r="V15" s="31"/>
      <c r="W15" s="31"/>
      <c r="X15" s="31"/>
      <c r="Y15" s="31"/>
      <c r="Z15" s="31"/>
      <c r="AA15" s="31"/>
      <c r="AB15" s="49"/>
      <c r="AC15" s="487"/>
    </row>
    <row r="16" spans="1:29" s="1614" customFormat="1" ht="18">
      <c r="A16" s="1637" t="s">
        <v>215</v>
      </c>
      <c r="B16" s="1633"/>
      <c r="C16" s="1633"/>
      <c r="D16" s="1633"/>
      <c r="E16" s="1633"/>
      <c r="F16" s="1633"/>
      <c r="G16" s="1633"/>
      <c r="H16" s="1633"/>
      <c r="I16" s="1633"/>
      <c r="J16" s="1633"/>
      <c r="K16" s="1633"/>
      <c r="L16" s="1633"/>
      <c r="M16" s="1633"/>
      <c r="N16" s="1633"/>
      <c r="O16" s="1638"/>
      <c r="P16" s="1639"/>
      <c r="Q16" s="1640"/>
      <c r="R16" s="1641"/>
      <c r="S16" s="1641"/>
      <c r="T16" s="1641"/>
      <c r="U16" s="1641"/>
      <c r="V16" s="1633">
        <v>5000000</v>
      </c>
      <c r="W16" s="1633">
        <v>5000000</v>
      </c>
      <c r="X16" s="1633">
        <v>5000000</v>
      </c>
      <c r="Y16" s="1633">
        <v>5000000</v>
      </c>
      <c r="Z16" s="1633"/>
      <c r="AA16" s="1633">
        <v>5000000</v>
      </c>
      <c r="AB16" s="1639">
        <f>AA16/Y16</f>
        <v>1</v>
      </c>
      <c r="AC16" s="1642"/>
    </row>
    <row r="17" spans="1:29" ht="33" customHeight="1">
      <c r="A17" s="26" t="s">
        <v>483</v>
      </c>
      <c r="B17" s="28"/>
      <c r="C17" s="28"/>
      <c r="D17" s="28"/>
      <c r="E17" s="28"/>
      <c r="F17" s="28"/>
      <c r="G17" s="28"/>
      <c r="H17" s="28"/>
      <c r="I17" s="28">
        <v>4624495</v>
      </c>
      <c r="J17" s="28">
        <v>4624495</v>
      </c>
      <c r="K17" s="28">
        <v>4624495</v>
      </c>
      <c r="L17" s="28">
        <f>SUM(L18:L46)</f>
        <v>7672000</v>
      </c>
      <c r="M17" s="28">
        <f>SUM(M18:M46)</f>
        <v>7642000</v>
      </c>
      <c r="N17" s="28">
        <f>SUM(N18:N42)</f>
        <v>0</v>
      </c>
      <c r="O17" s="28"/>
      <c r="P17" s="1636">
        <f>M17/L17</f>
        <v>0.9960896767466111</v>
      </c>
      <c r="Q17" s="34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691"/>
      <c r="AC17" s="746"/>
    </row>
    <row r="18" spans="1:29" ht="17.25" customHeight="1">
      <c r="A18" s="559" t="s">
        <v>343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38"/>
      <c r="P18" s="338"/>
      <c r="Q18" s="34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49"/>
      <c r="AC18" s="487"/>
    </row>
    <row r="19" spans="1:29" ht="17.25" customHeight="1">
      <c r="A19" s="559" t="s">
        <v>520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38"/>
      <c r="P19" s="691"/>
      <c r="Q19" s="34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49"/>
      <c r="AC19" s="746"/>
    </row>
    <row r="20" spans="1:29" ht="17.25" customHeight="1">
      <c r="A20" s="559" t="s">
        <v>652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>
        <v>4896000</v>
      </c>
      <c r="M20" s="28">
        <v>4896000</v>
      </c>
      <c r="N20" s="28"/>
      <c r="O20" s="338"/>
      <c r="P20" s="1636">
        <f aca="true" t="shared" si="0" ref="P20:P30">M20/L20</f>
        <v>1</v>
      </c>
      <c r="Q20" s="34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49"/>
      <c r="AC20" s="746"/>
    </row>
    <row r="21" spans="1:29" ht="17.25" customHeight="1">
      <c r="A21" s="559" t="s">
        <v>653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>
        <v>80000</v>
      </c>
      <c r="M21" s="28">
        <v>80000</v>
      </c>
      <c r="N21" s="28"/>
      <c r="O21" s="338"/>
      <c r="P21" s="1636">
        <f t="shared" si="0"/>
        <v>1</v>
      </c>
      <c r="Q21" s="34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49"/>
      <c r="AC21" s="487"/>
    </row>
    <row r="22" spans="1:29" ht="17.25" customHeight="1">
      <c r="A22" s="559" t="s">
        <v>344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38"/>
      <c r="P22" s="1636"/>
      <c r="Q22" s="34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49"/>
      <c r="AC22" s="487"/>
    </row>
    <row r="23" spans="1:29" ht="17.25" customHeight="1">
      <c r="A23" s="559" t="s">
        <v>654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>
        <v>232000</v>
      </c>
      <c r="M23" s="28">
        <v>232000</v>
      </c>
      <c r="N23" s="28"/>
      <c r="O23" s="338"/>
      <c r="P23" s="1636">
        <f t="shared" si="0"/>
        <v>1</v>
      </c>
      <c r="Q23" s="34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49"/>
      <c r="AC23" s="487"/>
    </row>
    <row r="24" spans="1:29" ht="41.25" customHeight="1">
      <c r="A24" s="559" t="s">
        <v>507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>
        <v>140000</v>
      </c>
      <c r="M24" s="28">
        <v>140000</v>
      </c>
      <c r="N24" s="28"/>
      <c r="O24" s="338"/>
      <c r="P24" s="1636">
        <f t="shared" si="0"/>
        <v>1</v>
      </c>
      <c r="Q24" s="34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49"/>
      <c r="AC24" s="487"/>
    </row>
    <row r="25" spans="1:29" ht="17.25" customHeight="1">
      <c r="A25" s="559" t="s">
        <v>348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>
        <v>70000</v>
      </c>
      <c r="M25" s="28">
        <v>70000</v>
      </c>
      <c r="N25" s="28"/>
      <c r="O25" s="338"/>
      <c r="P25" s="1636">
        <f t="shared" si="0"/>
        <v>1</v>
      </c>
      <c r="Q25" s="34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49"/>
      <c r="AC25" s="487"/>
    </row>
    <row r="26" spans="1:29" ht="30" customHeight="1">
      <c r="A26" s="559" t="s">
        <v>649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>
        <v>200000</v>
      </c>
      <c r="M26" s="28">
        <v>200000</v>
      </c>
      <c r="N26" s="28"/>
      <c r="O26" s="338"/>
      <c r="P26" s="1636">
        <f t="shared" si="0"/>
        <v>1</v>
      </c>
      <c r="Q26" s="34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49"/>
      <c r="AC26" s="487"/>
    </row>
    <row r="27" spans="1:29" ht="30" customHeight="1">
      <c r="A27" s="559" t="s">
        <v>574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>
        <f>72000+30000</f>
        <v>102000</v>
      </c>
      <c r="M27" s="28">
        <v>72000</v>
      </c>
      <c r="N27" s="28"/>
      <c r="O27" s="338"/>
      <c r="P27" s="1636">
        <f t="shared" si="0"/>
        <v>0.7058823529411765</v>
      </c>
      <c r="Q27" s="34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49"/>
      <c r="AC27" s="487"/>
    </row>
    <row r="28" spans="1:29" ht="17.25" customHeight="1">
      <c r="A28" s="559" t="s">
        <v>345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>
        <v>40000</v>
      </c>
      <c r="M28" s="28">
        <v>40000</v>
      </c>
      <c r="N28" s="28"/>
      <c r="O28" s="338"/>
      <c r="P28" s="1636">
        <f t="shared" si="0"/>
        <v>1</v>
      </c>
      <c r="Q28" s="34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49"/>
      <c r="AC28" s="487"/>
    </row>
    <row r="29" spans="1:29" ht="17.25" customHeight="1">
      <c r="A29" s="559" t="s">
        <v>432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38"/>
      <c r="P29" s="1636"/>
      <c r="Q29" s="34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49"/>
      <c r="AC29" s="487"/>
    </row>
    <row r="30" spans="1:29" s="1614" customFormat="1" ht="17.25" customHeight="1">
      <c r="A30" s="1643" t="s">
        <v>650</v>
      </c>
      <c r="B30" s="1633"/>
      <c r="C30" s="1633"/>
      <c r="D30" s="1633"/>
      <c r="E30" s="1633"/>
      <c r="F30" s="1633"/>
      <c r="G30" s="1633"/>
      <c r="H30" s="1633"/>
      <c r="I30" s="1633"/>
      <c r="J30" s="1633"/>
      <c r="K30" s="1633"/>
      <c r="L30" s="1633">
        <v>191000</v>
      </c>
      <c r="M30" s="1633">
        <v>191000</v>
      </c>
      <c r="N30" s="1633"/>
      <c r="O30" s="1638"/>
      <c r="P30" s="1644">
        <f t="shared" si="0"/>
        <v>1</v>
      </c>
      <c r="Q30" s="1645"/>
      <c r="R30" s="1633"/>
      <c r="S30" s="1633"/>
      <c r="T30" s="1633"/>
      <c r="U30" s="1633"/>
      <c r="V30" s="1633"/>
      <c r="W30" s="1633"/>
      <c r="X30" s="1633"/>
      <c r="Y30" s="1633"/>
      <c r="Z30" s="1633"/>
      <c r="AA30" s="1633"/>
      <c r="AB30" s="1646"/>
      <c r="AC30" s="1642"/>
    </row>
    <row r="31" spans="1:29" ht="17.25" customHeight="1">
      <c r="A31" s="559" t="s">
        <v>527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38"/>
      <c r="P31" s="691"/>
      <c r="Q31" s="34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9"/>
      <c r="AC31" s="487"/>
    </row>
    <row r="32" spans="1:29" ht="17.25" customHeight="1">
      <c r="A32" s="559" t="s">
        <v>346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38"/>
      <c r="P32" s="691"/>
      <c r="Q32" s="34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49"/>
      <c r="AC32" s="487"/>
    </row>
    <row r="33" spans="1:29" ht="17.25" customHeight="1">
      <c r="A33" s="559" t="s">
        <v>518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338"/>
      <c r="P33" s="691"/>
      <c r="Q33" s="34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49"/>
      <c r="AC33" s="487"/>
    </row>
    <row r="34" spans="1:29" ht="17.25" customHeight="1">
      <c r="A34" s="559" t="s">
        <v>482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338"/>
      <c r="P34" s="691"/>
      <c r="Q34" s="34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49"/>
      <c r="AC34" s="487"/>
    </row>
    <row r="35" spans="1:29" ht="17.25" customHeight="1">
      <c r="A35" s="559" t="s">
        <v>519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>
        <v>112000</v>
      </c>
      <c r="M35" s="28">
        <v>112000</v>
      </c>
      <c r="N35" s="28"/>
      <c r="O35" s="338"/>
      <c r="P35" s="1636">
        <f aca="true" t="shared" si="1" ref="P35:P61">M35/L35</f>
        <v>1</v>
      </c>
      <c r="Q35" s="34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49"/>
      <c r="AC35" s="487"/>
    </row>
    <row r="36" spans="1:29" ht="17.25" customHeight="1">
      <c r="A36" s="559" t="s">
        <v>521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38"/>
      <c r="P36" s="1636"/>
      <c r="Q36" s="34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49"/>
      <c r="AC36" s="487"/>
    </row>
    <row r="37" spans="1:29" ht="17.25" customHeight="1">
      <c r="A37" s="559" t="s">
        <v>482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>
        <v>55000</v>
      </c>
      <c r="M37" s="28">
        <v>55000</v>
      </c>
      <c r="N37" s="28"/>
      <c r="O37" s="338"/>
      <c r="P37" s="1636">
        <f t="shared" si="1"/>
        <v>1</v>
      </c>
      <c r="Q37" s="34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49"/>
      <c r="AC37" s="487"/>
    </row>
    <row r="38" spans="1:29" ht="17.25" customHeight="1">
      <c r="A38" s="559" t="s">
        <v>656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>
        <v>350000</v>
      </c>
      <c r="M38" s="28">
        <v>350000</v>
      </c>
      <c r="N38" s="28"/>
      <c r="O38" s="338"/>
      <c r="P38" s="1636">
        <f t="shared" si="1"/>
        <v>1</v>
      </c>
      <c r="Q38" s="34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49"/>
      <c r="AC38" s="487"/>
    </row>
    <row r="39" spans="1:29" ht="30" customHeight="1">
      <c r="A39" s="1112" t="s">
        <v>631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>
        <v>38000</v>
      </c>
      <c r="M39" s="28">
        <v>38000</v>
      </c>
      <c r="N39" s="28"/>
      <c r="O39" s="338"/>
      <c r="P39" s="1636">
        <f t="shared" si="1"/>
        <v>1</v>
      </c>
      <c r="Q39" s="34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49"/>
      <c r="AC39" s="487"/>
    </row>
    <row r="40" spans="1:29" ht="17.25" customHeight="1">
      <c r="A40" s="559" t="s">
        <v>618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>
        <f>670000+90000-250000</f>
        <v>510000</v>
      </c>
      <c r="M40" s="1633">
        <f>670000+90000-250000</f>
        <v>510000</v>
      </c>
      <c r="N40" s="28"/>
      <c r="O40" s="338"/>
      <c r="P40" s="1636">
        <f t="shared" si="1"/>
        <v>1</v>
      </c>
      <c r="Q40" s="34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49"/>
      <c r="AC40" s="487"/>
    </row>
    <row r="41" spans="1:29" ht="17.25" customHeight="1">
      <c r="A41" s="559" t="s">
        <v>441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>
        <v>30000</v>
      </c>
      <c r="M41" s="28">
        <v>30000</v>
      </c>
      <c r="N41" s="28"/>
      <c r="O41" s="338"/>
      <c r="P41" s="1636">
        <f t="shared" si="1"/>
        <v>1</v>
      </c>
      <c r="Q41" s="34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49"/>
      <c r="AC41" s="487"/>
    </row>
    <row r="42" spans="1:29" ht="17.25" customHeight="1">
      <c r="A42" s="559" t="s">
        <v>433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1636"/>
      <c r="Q42" s="34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49"/>
      <c r="AC42" s="487"/>
    </row>
    <row r="43" spans="1:29" ht="17.25" customHeight="1">
      <c r="A43" s="26" t="s">
        <v>484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>
        <f>SUM(N44:N46)</f>
        <v>0</v>
      </c>
      <c r="O43" s="28"/>
      <c r="P43" s="1636"/>
      <c r="Q43" s="34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49"/>
      <c r="AC43" s="487"/>
    </row>
    <row r="44" spans="1:29" ht="17.25" customHeight="1">
      <c r="A44" s="559" t="s">
        <v>343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>
        <v>20000</v>
      </c>
      <c r="M44" s="28">
        <v>20000</v>
      </c>
      <c r="N44" s="28"/>
      <c r="O44" s="28"/>
      <c r="P44" s="1636">
        <f t="shared" si="1"/>
        <v>1</v>
      </c>
      <c r="Q44" s="34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49"/>
      <c r="AC44" s="746"/>
    </row>
    <row r="45" spans="1:29" s="1614" customFormat="1" ht="17.25" customHeight="1">
      <c r="A45" s="1643" t="s">
        <v>481</v>
      </c>
      <c r="B45" s="1633"/>
      <c r="C45" s="1633"/>
      <c r="D45" s="1633"/>
      <c r="E45" s="1633"/>
      <c r="F45" s="1633"/>
      <c r="G45" s="1633"/>
      <c r="H45" s="1633"/>
      <c r="I45" s="1633"/>
      <c r="J45" s="1633"/>
      <c r="K45" s="1633"/>
      <c r="L45" s="1633">
        <v>356000</v>
      </c>
      <c r="M45" s="1633">
        <v>356000</v>
      </c>
      <c r="N45" s="1633"/>
      <c r="O45" s="1633"/>
      <c r="P45" s="1644">
        <f t="shared" si="1"/>
        <v>1</v>
      </c>
      <c r="Q45" s="1645"/>
      <c r="R45" s="1633"/>
      <c r="S45" s="1633"/>
      <c r="T45" s="1633"/>
      <c r="U45" s="1633"/>
      <c r="V45" s="1633"/>
      <c r="W45" s="1633"/>
      <c r="X45" s="1633"/>
      <c r="Y45" s="1633">
        <v>70000</v>
      </c>
      <c r="Z45" s="1633"/>
      <c r="AA45" s="1633">
        <v>70000</v>
      </c>
      <c r="AB45" s="1639">
        <f>AA45/Y45</f>
        <v>1</v>
      </c>
      <c r="AC45" s="1642"/>
    </row>
    <row r="46" spans="1:29" ht="17.25" customHeight="1">
      <c r="A46" s="559" t="s">
        <v>347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>
        <v>250000</v>
      </c>
      <c r="M46" s="28">
        <v>250000</v>
      </c>
      <c r="N46" s="28"/>
      <c r="O46" s="28"/>
      <c r="P46" s="1636">
        <f t="shared" si="1"/>
        <v>1</v>
      </c>
      <c r="Q46" s="34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49"/>
      <c r="AC46" s="487"/>
    </row>
    <row r="47" spans="1:29" ht="17.25" customHeight="1">
      <c r="A47" s="55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38"/>
      <c r="P47" s="1636"/>
      <c r="Q47" s="34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49"/>
      <c r="AC47" s="487"/>
    </row>
    <row r="48" spans="1:29" ht="17.25" customHeight="1">
      <c r="A48" s="958" t="s">
        <v>657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1633">
        <v>12000</v>
      </c>
      <c r="M48" s="28">
        <v>12000</v>
      </c>
      <c r="N48" s="28"/>
      <c r="O48" s="338"/>
      <c r="P48" s="1636">
        <f t="shared" si="1"/>
        <v>1</v>
      </c>
      <c r="Q48" s="34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49"/>
      <c r="AC48" s="487"/>
    </row>
    <row r="49" spans="1:29" ht="17.25" customHeight="1">
      <c r="A49" s="958" t="s">
        <v>573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1633"/>
      <c r="M49" s="28"/>
      <c r="N49" s="28"/>
      <c r="O49" s="338"/>
      <c r="P49" s="1636"/>
      <c r="Q49" s="34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49"/>
      <c r="AC49" s="487"/>
    </row>
    <row r="50" spans="1:29" ht="18" customHeight="1">
      <c r="A50" s="26" t="s">
        <v>577</v>
      </c>
      <c r="B50" s="28"/>
      <c r="C50" s="28"/>
      <c r="D50" s="28"/>
      <c r="E50" s="28"/>
      <c r="F50" s="28"/>
      <c r="G50" s="28"/>
      <c r="H50" s="28"/>
      <c r="I50" s="28">
        <v>200000</v>
      </c>
      <c r="J50" s="28">
        <v>200000</v>
      </c>
      <c r="K50" s="28">
        <v>200000</v>
      </c>
      <c r="L50" s="1633">
        <v>200000</v>
      </c>
      <c r="M50" s="28">
        <v>200000</v>
      </c>
      <c r="N50" s="28"/>
      <c r="O50" s="338"/>
      <c r="P50" s="1636">
        <f t="shared" si="1"/>
        <v>1</v>
      </c>
      <c r="Q50" s="34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49"/>
      <c r="AC50" s="487"/>
    </row>
    <row r="51" spans="1:29" s="1614" customFormat="1" ht="17.25" customHeight="1">
      <c r="A51" s="1637" t="s">
        <v>618</v>
      </c>
      <c r="B51" s="1633"/>
      <c r="C51" s="1633"/>
      <c r="D51" s="1633"/>
      <c r="E51" s="1633"/>
      <c r="F51" s="1633"/>
      <c r="G51" s="1633"/>
      <c r="H51" s="1633"/>
      <c r="I51" s="1633">
        <v>250000</v>
      </c>
      <c r="J51" s="1633">
        <v>250000</v>
      </c>
      <c r="K51" s="1633">
        <v>250000</v>
      </c>
      <c r="L51" s="1633">
        <v>250000</v>
      </c>
      <c r="M51" s="1633">
        <v>250000</v>
      </c>
      <c r="N51" s="1633"/>
      <c r="O51" s="1638"/>
      <c r="P51" s="1644">
        <f t="shared" si="1"/>
        <v>1</v>
      </c>
      <c r="Q51" s="1645"/>
      <c r="R51" s="1633"/>
      <c r="S51" s="1633"/>
      <c r="T51" s="1633"/>
      <c r="U51" s="1633"/>
      <c r="V51" s="1633"/>
      <c r="W51" s="1633"/>
      <c r="X51" s="1633"/>
      <c r="Y51" s="1633"/>
      <c r="Z51" s="1633"/>
      <c r="AA51" s="1633"/>
      <c r="AB51" s="1646"/>
      <c r="AC51" s="1642"/>
    </row>
    <row r="52" spans="1:29" s="1614" customFormat="1" ht="17.25" customHeight="1">
      <c r="A52" s="1637" t="s">
        <v>499</v>
      </c>
      <c r="B52" s="1633"/>
      <c r="C52" s="1633"/>
      <c r="D52" s="1633"/>
      <c r="E52" s="1633"/>
      <c r="F52" s="1633"/>
      <c r="G52" s="1633"/>
      <c r="H52" s="1633"/>
      <c r="I52" s="1633"/>
      <c r="J52" s="1633"/>
      <c r="K52" s="1633"/>
      <c r="L52" s="1633"/>
      <c r="M52" s="1633"/>
      <c r="N52" s="1633"/>
      <c r="O52" s="1638"/>
      <c r="P52" s="1644"/>
      <c r="Q52" s="1645"/>
      <c r="R52" s="1633"/>
      <c r="S52" s="1633"/>
      <c r="T52" s="1633"/>
      <c r="U52" s="1633"/>
      <c r="V52" s="1633"/>
      <c r="W52" s="1633"/>
      <c r="X52" s="1633"/>
      <c r="Y52" s="1633"/>
      <c r="Z52" s="1633"/>
      <c r="AA52" s="1633"/>
      <c r="AB52" s="1646"/>
      <c r="AC52" s="1642"/>
    </row>
    <row r="53" spans="1:29" s="1614" customFormat="1" ht="17.25" customHeight="1">
      <c r="A53" s="1637" t="s">
        <v>500</v>
      </c>
      <c r="B53" s="1633"/>
      <c r="C53" s="1633"/>
      <c r="D53" s="1633"/>
      <c r="E53" s="1633"/>
      <c r="F53" s="1633"/>
      <c r="G53" s="1633"/>
      <c r="H53" s="1633"/>
      <c r="I53" s="1633"/>
      <c r="J53" s="1633"/>
      <c r="K53" s="1633"/>
      <c r="L53" s="1633"/>
      <c r="M53" s="1633"/>
      <c r="N53" s="1633"/>
      <c r="O53" s="1638"/>
      <c r="P53" s="1644"/>
      <c r="Q53" s="1645"/>
      <c r="R53" s="1633"/>
      <c r="S53" s="1633"/>
      <c r="T53" s="1633"/>
      <c r="U53" s="1633"/>
      <c r="V53" s="1633"/>
      <c r="W53" s="1633"/>
      <c r="X53" s="1633"/>
      <c r="Y53" s="1633"/>
      <c r="Z53" s="1633"/>
      <c r="AA53" s="1633"/>
      <c r="AB53" s="1646"/>
      <c r="AC53" s="1642"/>
    </row>
    <row r="54" spans="1:29" ht="17.25" customHeight="1">
      <c r="A54" s="958" t="s">
        <v>651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1633">
        <v>100000</v>
      </c>
      <c r="M54" s="28">
        <v>100000</v>
      </c>
      <c r="N54" s="28"/>
      <c r="O54" s="338"/>
      <c r="P54" s="1636">
        <f t="shared" si="1"/>
        <v>1</v>
      </c>
      <c r="Q54" s="34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49"/>
      <c r="AC54" s="487"/>
    </row>
    <row r="55" spans="1:29" ht="17.25" customHeight="1">
      <c r="A55" s="958" t="s">
        <v>655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1633">
        <v>280000</v>
      </c>
      <c r="M55" s="28">
        <v>280000</v>
      </c>
      <c r="N55" s="28"/>
      <c r="O55" s="338"/>
      <c r="P55" s="1636">
        <f t="shared" si="1"/>
        <v>1</v>
      </c>
      <c r="Q55" s="34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49"/>
      <c r="AC55" s="487"/>
    </row>
    <row r="56" spans="1:29" ht="39.75" customHeight="1">
      <c r="A56" s="26" t="s">
        <v>522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1633">
        <v>64525</v>
      </c>
      <c r="M56" s="28">
        <v>64525</v>
      </c>
      <c r="N56" s="28"/>
      <c r="O56" s="338"/>
      <c r="P56" s="1636">
        <f t="shared" si="1"/>
        <v>1</v>
      </c>
      <c r="Q56" s="34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49"/>
      <c r="AC56" s="487"/>
    </row>
    <row r="57" spans="1:29" s="1614" customFormat="1" ht="36.75" customHeight="1">
      <c r="A57" s="1637" t="s">
        <v>507</v>
      </c>
      <c r="B57" s="1633"/>
      <c r="C57" s="1633"/>
      <c r="D57" s="1633"/>
      <c r="E57" s="1633"/>
      <c r="F57" s="1633"/>
      <c r="G57" s="1633"/>
      <c r="H57" s="1633"/>
      <c r="I57" s="1633">
        <v>100000</v>
      </c>
      <c r="J57" s="1633">
        <v>100000</v>
      </c>
      <c r="K57" s="1633">
        <v>100000</v>
      </c>
      <c r="L57" s="1633">
        <v>100000</v>
      </c>
      <c r="M57" s="1633">
        <v>100000</v>
      </c>
      <c r="N57" s="1633"/>
      <c r="O57" s="1638"/>
      <c r="P57" s="1644">
        <f t="shared" si="1"/>
        <v>1</v>
      </c>
      <c r="Q57" s="1645"/>
      <c r="R57" s="1633"/>
      <c r="S57" s="1633"/>
      <c r="T57" s="1633"/>
      <c r="U57" s="1633"/>
      <c r="V57" s="1633"/>
      <c r="W57" s="1633"/>
      <c r="X57" s="1633"/>
      <c r="Y57" s="1633"/>
      <c r="Z57" s="1633"/>
      <c r="AA57" s="1633"/>
      <c r="AB57" s="1646"/>
      <c r="AC57" s="1642"/>
    </row>
    <row r="58" spans="1:29" s="14" customFormat="1" ht="30.75">
      <c r="A58" s="26" t="s">
        <v>540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1633"/>
      <c r="M58" s="28"/>
      <c r="N58" s="28"/>
      <c r="O58" s="338"/>
      <c r="P58" s="1636"/>
      <c r="Q58" s="342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49"/>
      <c r="AC58" s="488"/>
    </row>
    <row r="59" spans="1:29" ht="26.25">
      <c r="A59" s="1112" t="s">
        <v>631</v>
      </c>
      <c r="B59" s="31"/>
      <c r="C59" s="31"/>
      <c r="D59" s="31"/>
      <c r="E59" s="31"/>
      <c r="F59" s="31"/>
      <c r="G59" s="31"/>
      <c r="H59" s="31"/>
      <c r="I59" s="31">
        <v>300000</v>
      </c>
      <c r="J59" s="31">
        <v>300000</v>
      </c>
      <c r="K59" s="31">
        <v>300000</v>
      </c>
      <c r="L59" s="1633">
        <v>300000</v>
      </c>
      <c r="M59" s="31">
        <v>300000</v>
      </c>
      <c r="N59" s="31"/>
      <c r="O59" s="339"/>
      <c r="P59" s="1636">
        <f t="shared" si="1"/>
        <v>1</v>
      </c>
      <c r="Q59" s="342"/>
      <c r="R59" s="28"/>
      <c r="S59" s="28"/>
      <c r="T59" s="28"/>
      <c r="U59" s="28"/>
      <c r="V59" s="31"/>
      <c r="W59" s="31"/>
      <c r="X59" s="31"/>
      <c r="Y59" s="31"/>
      <c r="Z59" s="31"/>
      <c r="AA59" s="31"/>
      <c r="AB59" s="30"/>
      <c r="AC59" s="487"/>
    </row>
    <row r="60" spans="1:29" ht="18">
      <c r="A60" s="210" t="s">
        <v>630</v>
      </c>
      <c r="B60" s="31"/>
      <c r="C60" s="31"/>
      <c r="D60" s="31"/>
      <c r="E60" s="31"/>
      <c r="F60" s="31"/>
      <c r="G60" s="31"/>
      <c r="H60" s="31"/>
      <c r="I60" s="31">
        <v>100000</v>
      </c>
      <c r="J60" s="31">
        <v>100000</v>
      </c>
      <c r="K60" s="31">
        <v>100000</v>
      </c>
      <c r="L60" s="1633">
        <v>100000</v>
      </c>
      <c r="M60" s="31">
        <v>100000</v>
      </c>
      <c r="N60" s="31"/>
      <c r="O60" s="339"/>
      <c r="P60" s="1636">
        <f t="shared" si="1"/>
        <v>1</v>
      </c>
      <c r="Q60" s="342"/>
      <c r="R60" s="28"/>
      <c r="S60" s="28"/>
      <c r="T60" s="28"/>
      <c r="U60" s="28"/>
      <c r="V60" s="31"/>
      <c r="W60" s="31"/>
      <c r="X60" s="31"/>
      <c r="Y60" s="31"/>
      <c r="Z60" s="31"/>
      <c r="AA60" s="31"/>
      <c r="AB60" s="30"/>
      <c r="AC60" s="487"/>
    </row>
    <row r="61" spans="1:29" ht="18">
      <c r="A61" s="26" t="s">
        <v>658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1633">
        <v>30000</v>
      </c>
      <c r="M61" s="28"/>
      <c r="N61" s="28"/>
      <c r="O61" s="338"/>
      <c r="P61" s="1636">
        <f t="shared" si="1"/>
        <v>0</v>
      </c>
      <c r="Q61" s="342"/>
      <c r="R61" s="28"/>
      <c r="S61" s="28"/>
      <c r="T61" s="28"/>
      <c r="U61" s="28"/>
      <c r="W61" s="28">
        <v>1000000</v>
      </c>
      <c r="X61" s="28">
        <v>1000000</v>
      </c>
      <c r="Z61" s="31"/>
      <c r="AA61" s="31"/>
      <c r="AB61" s="30"/>
      <c r="AC61" s="487"/>
    </row>
    <row r="62" spans="1:29" ht="18.75" thickBot="1">
      <c r="A62" s="210" t="s">
        <v>1009</v>
      </c>
      <c r="B62" s="834"/>
      <c r="C62" s="834"/>
      <c r="D62" s="834"/>
      <c r="E62" s="834"/>
      <c r="F62" s="834"/>
      <c r="G62" s="834"/>
      <c r="H62" s="834"/>
      <c r="I62" s="834"/>
      <c r="J62" s="834"/>
      <c r="K62" s="834"/>
      <c r="L62" s="1629"/>
      <c r="M62" s="834"/>
      <c r="N62" s="834"/>
      <c r="O62" s="833"/>
      <c r="P62" s="1647"/>
      <c r="Q62" s="1648"/>
      <c r="R62" s="834"/>
      <c r="S62" s="834"/>
      <c r="T62" s="834"/>
      <c r="U62" s="834"/>
      <c r="V62" s="28">
        <v>1000000</v>
      </c>
      <c r="W62" s="834"/>
      <c r="X62" s="834"/>
      <c r="Y62" s="28">
        <v>1000000</v>
      </c>
      <c r="Z62" s="50"/>
      <c r="AA62" s="28">
        <v>1000000</v>
      </c>
      <c r="AB62" s="1649">
        <f>AA62/Y62</f>
        <v>1</v>
      </c>
      <c r="AC62" s="692"/>
    </row>
    <row r="63" spans="1:29" ht="23.25" customHeight="1" thickBot="1">
      <c r="A63" s="986" t="s">
        <v>1</v>
      </c>
      <c r="B63" s="987">
        <f aca="true" t="shared" si="2" ref="B63:I63">SUM(B10:B61)</f>
        <v>0</v>
      </c>
      <c r="C63" s="987">
        <f t="shared" si="2"/>
        <v>0</v>
      </c>
      <c r="D63" s="987">
        <f t="shared" si="2"/>
        <v>0</v>
      </c>
      <c r="E63" s="987">
        <f t="shared" si="2"/>
        <v>0</v>
      </c>
      <c r="F63" s="987">
        <f t="shared" si="2"/>
        <v>0</v>
      </c>
      <c r="G63" s="987">
        <f t="shared" si="2"/>
        <v>0</v>
      </c>
      <c r="H63" s="987">
        <f t="shared" si="2"/>
        <v>0</v>
      </c>
      <c r="I63" s="987">
        <f t="shared" si="2"/>
        <v>5574495</v>
      </c>
      <c r="J63" s="987">
        <f>SUM(J10:J61)</f>
        <v>13184495</v>
      </c>
      <c r="K63" s="987">
        <f>SUM(K10:K61)</f>
        <v>13184495</v>
      </c>
      <c r="L63" s="1634">
        <f>SUM(L48:L61,L11:L17)</f>
        <v>12608525</v>
      </c>
      <c r="M63" s="1634">
        <f>SUM(M48:M61,M11:M17)</f>
        <v>12548525</v>
      </c>
      <c r="N63" s="1634">
        <f>SUM(N48:N61,N11:N17)</f>
        <v>0</v>
      </c>
      <c r="O63" s="1634">
        <f>SUM(O48:O61,O11:O17)</f>
        <v>0</v>
      </c>
      <c r="P63" s="988">
        <f>M63/L63</f>
        <v>0.9952413149040035</v>
      </c>
      <c r="Q63" s="989">
        <f aca="true" t="shared" si="3" ref="Q63:W63">SUM(Q10:Q61)</f>
        <v>0</v>
      </c>
      <c r="R63" s="987">
        <f t="shared" si="3"/>
        <v>0</v>
      </c>
      <c r="S63" s="987">
        <f t="shared" si="3"/>
        <v>0</v>
      </c>
      <c r="T63" s="987">
        <f t="shared" si="3"/>
        <v>0</v>
      </c>
      <c r="U63" s="987">
        <f t="shared" si="3"/>
        <v>0</v>
      </c>
      <c r="V63" s="987">
        <f>SUM(V10:V62)</f>
        <v>6000000</v>
      </c>
      <c r="W63" s="32">
        <f t="shared" si="3"/>
        <v>6000000</v>
      </c>
      <c r="X63" s="32">
        <f>SUM(X10:X61)</f>
        <v>6000000</v>
      </c>
      <c r="Y63" s="1634">
        <f>SUM(Y10:Y62)</f>
        <v>6070000</v>
      </c>
      <c r="Z63" s="32">
        <f>SUM(Z10:Z61)</f>
        <v>0</v>
      </c>
      <c r="AA63" s="1634">
        <f>SUM(AA10:AA62)</f>
        <v>6070000</v>
      </c>
      <c r="AB63" s="1650">
        <f>AA63/Y63</f>
        <v>1</v>
      </c>
      <c r="AC63" s="692"/>
    </row>
    <row r="64" spans="1:29" ht="23.25" customHeight="1">
      <c r="A64" s="1622"/>
      <c r="B64" s="1623"/>
      <c r="C64" s="1623"/>
      <c r="D64" s="1623"/>
      <c r="E64" s="1623"/>
      <c r="F64" s="1623"/>
      <c r="G64" s="1623"/>
      <c r="H64" s="1623"/>
      <c r="I64" s="1623"/>
      <c r="J64" s="1623"/>
      <c r="K64" s="1626"/>
      <c r="L64" s="1623"/>
      <c r="M64" s="1623"/>
      <c r="N64" s="1623"/>
      <c r="O64" s="1623"/>
      <c r="P64" s="1624"/>
      <c r="Q64" s="1623"/>
      <c r="R64" s="1623"/>
      <c r="S64" s="1623"/>
      <c r="T64" s="1623"/>
      <c r="U64" s="1623"/>
      <c r="V64" s="1623"/>
      <c r="W64" s="1625"/>
      <c r="X64" s="1625"/>
      <c r="Y64" s="1625"/>
      <c r="Z64" s="1625"/>
      <c r="AA64" s="1625"/>
      <c r="AB64" s="1625"/>
      <c r="AC64" s="692"/>
    </row>
    <row r="65" spans="1:28" ht="15">
      <c r="A65" s="990"/>
      <c r="B65" s="991"/>
      <c r="C65" s="991"/>
      <c r="D65" s="991"/>
      <c r="E65" s="991"/>
      <c r="F65" s="991"/>
      <c r="G65" s="991"/>
      <c r="H65" s="991"/>
      <c r="I65" s="832"/>
      <c r="J65" s="832"/>
      <c r="K65" s="832"/>
      <c r="L65" s="832"/>
      <c r="M65" s="832"/>
      <c r="O65" s="832"/>
      <c r="P65" s="832"/>
      <c r="Q65" s="832"/>
      <c r="R65" s="991"/>
      <c r="S65" s="991"/>
      <c r="T65" s="991"/>
      <c r="U65" s="991"/>
      <c r="V65" s="832"/>
      <c r="X65" s="336"/>
      <c r="Z65" s="336"/>
      <c r="AA65" s="336"/>
      <c r="AB65" s="336"/>
    </row>
    <row r="66" spans="1:24" ht="14.25">
      <c r="A66" s="1983" t="s">
        <v>218</v>
      </c>
      <c r="B66" s="1983"/>
      <c r="C66" s="1983"/>
      <c r="D66" s="1983"/>
      <c r="E66" s="1983"/>
      <c r="F66" s="1983"/>
      <c r="G66" s="1983"/>
      <c r="H66" s="1983"/>
      <c r="I66" s="1983"/>
      <c r="J66" s="1983"/>
      <c r="K66" s="1983"/>
      <c r="L66" s="1983"/>
      <c r="M66" s="1983"/>
      <c r="N66" s="1983"/>
      <c r="O66" s="1983"/>
      <c r="P66" s="1983"/>
      <c r="Q66" s="1983"/>
      <c r="R66" s="1983"/>
      <c r="S66" s="1983"/>
      <c r="T66" s="1983"/>
      <c r="U66" s="1983"/>
      <c r="V66" s="1983"/>
      <c r="X66" s="336"/>
    </row>
    <row r="67" ht="13.5" thickBot="1">
      <c r="V67" s="10"/>
    </row>
    <row r="68" spans="1:29" ht="29.25" customHeight="1">
      <c r="A68" s="2000" t="s">
        <v>217</v>
      </c>
      <c r="B68" s="2002" t="s">
        <v>22</v>
      </c>
      <c r="C68" s="2003"/>
      <c r="D68" s="2003"/>
      <c r="E68" s="2003"/>
      <c r="F68" s="2003"/>
      <c r="G68" s="2003"/>
      <c r="H68" s="2003"/>
      <c r="I68" s="2003"/>
      <c r="J68" s="2003"/>
      <c r="K68" s="2003"/>
      <c r="L68" s="2003"/>
      <c r="M68" s="2003"/>
      <c r="N68" s="2003"/>
      <c r="O68" s="2003"/>
      <c r="P68" s="2003"/>
      <c r="Q68" s="2004" t="s">
        <v>23</v>
      </c>
      <c r="R68" s="2005"/>
      <c r="S68" s="2005"/>
      <c r="T68" s="2005"/>
      <c r="U68" s="2005"/>
      <c r="V68" s="2005"/>
      <c r="W68" s="2005"/>
      <c r="X68" s="2005"/>
      <c r="Y68" s="2005"/>
      <c r="Z68" s="2005"/>
      <c r="AA68" s="2002"/>
      <c r="AB68" s="2006"/>
      <c r="AC68" s="487"/>
    </row>
    <row r="69" spans="1:29" ht="29.25" customHeight="1">
      <c r="A69" s="2001"/>
      <c r="B69" s="1998" t="s">
        <v>62</v>
      </c>
      <c r="C69" s="2007"/>
      <c r="D69" s="2007"/>
      <c r="E69" s="2007"/>
      <c r="F69" s="2007"/>
      <c r="G69" s="2007"/>
      <c r="H69" s="2008"/>
      <c r="I69" s="1998" t="s">
        <v>63</v>
      </c>
      <c r="J69" s="2007"/>
      <c r="K69" s="2007"/>
      <c r="L69" s="2007"/>
      <c r="M69" s="2007"/>
      <c r="N69" s="2007"/>
      <c r="O69" s="2007"/>
      <c r="P69" s="2007"/>
      <c r="Q69" s="2009" t="s">
        <v>62</v>
      </c>
      <c r="R69" s="1997"/>
      <c r="S69" s="1997"/>
      <c r="T69" s="1997"/>
      <c r="U69" s="1997"/>
      <c r="V69" s="1997" t="s">
        <v>63</v>
      </c>
      <c r="W69" s="1997"/>
      <c r="X69" s="1997"/>
      <c r="Y69" s="1997"/>
      <c r="Z69" s="1997"/>
      <c r="AA69" s="1998"/>
      <c r="AB69" s="1999"/>
      <c r="AC69" s="487"/>
    </row>
    <row r="70" spans="1:29" ht="29.25" customHeight="1">
      <c r="A70" s="264"/>
      <c r="B70" s="265" t="s">
        <v>221</v>
      </c>
      <c r="C70" s="265" t="s">
        <v>219</v>
      </c>
      <c r="D70" s="489" t="s">
        <v>224</v>
      </c>
      <c r="E70" s="265" t="s">
        <v>226</v>
      </c>
      <c r="F70" s="265" t="s">
        <v>435</v>
      </c>
      <c r="G70" s="756" t="s">
        <v>383</v>
      </c>
      <c r="H70" s="265" t="s">
        <v>229</v>
      </c>
      <c r="I70" s="1153" t="s">
        <v>221</v>
      </c>
      <c r="J70" s="1153" t="s">
        <v>219</v>
      </c>
      <c r="K70" s="1298" t="s">
        <v>224</v>
      </c>
      <c r="L70" s="741" t="s">
        <v>226</v>
      </c>
      <c r="M70" s="756" t="s">
        <v>383</v>
      </c>
      <c r="N70" s="756" t="s">
        <v>439</v>
      </c>
      <c r="O70" s="756" t="s">
        <v>383</v>
      </c>
      <c r="P70" s="745" t="s">
        <v>229</v>
      </c>
      <c r="Q70" s="742" t="s">
        <v>221</v>
      </c>
      <c r="R70" s="265" t="s">
        <v>219</v>
      </c>
      <c r="S70" s="489" t="s">
        <v>224</v>
      </c>
      <c r="T70" s="265" t="s">
        <v>226</v>
      </c>
      <c r="U70" s="265" t="s">
        <v>383</v>
      </c>
      <c r="V70" s="265" t="s">
        <v>221</v>
      </c>
      <c r="W70" s="265" t="s">
        <v>219</v>
      </c>
      <c r="X70" s="489" t="s">
        <v>224</v>
      </c>
      <c r="Y70" s="265" t="s">
        <v>226</v>
      </c>
      <c r="Z70" s="265" t="s">
        <v>435</v>
      </c>
      <c r="AA70" s="756" t="s">
        <v>439</v>
      </c>
      <c r="AB70" s="265" t="s">
        <v>229</v>
      </c>
      <c r="AC70" s="487"/>
    </row>
    <row r="71" spans="1:29" ht="18" hidden="1">
      <c r="A71" s="25" t="s">
        <v>440</v>
      </c>
      <c r="B71" s="50"/>
      <c r="C71" s="50"/>
      <c r="D71" s="50"/>
      <c r="E71" s="50"/>
      <c r="F71" s="50"/>
      <c r="G71" s="50"/>
      <c r="H71" s="691"/>
      <c r="I71" s="50"/>
      <c r="J71" s="50"/>
      <c r="K71" s="50"/>
      <c r="L71" s="50"/>
      <c r="M71" s="343"/>
      <c r="N71" s="833"/>
      <c r="O71" s="830"/>
      <c r="P71" s="343"/>
      <c r="Q71" s="342"/>
      <c r="R71" s="28"/>
      <c r="S71" s="28"/>
      <c r="T71" s="28"/>
      <c r="U71" s="28"/>
      <c r="V71" s="31"/>
      <c r="W71" s="31"/>
      <c r="X71" s="31"/>
      <c r="Y71" s="31"/>
      <c r="Z71" s="28"/>
      <c r="AA71" s="338"/>
      <c r="AB71" s="49"/>
      <c r="AC71" s="487"/>
    </row>
    <row r="72" spans="1:29" ht="18" hidden="1">
      <c r="A72" s="51" t="s">
        <v>480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834"/>
      <c r="O72" s="831"/>
      <c r="P72" s="691"/>
      <c r="Q72" s="342"/>
      <c r="R72" s="28"/>
      <c r="S72" s="28"/>
      <c r="T72" s="28"/>
      <c r="U72" s="28"/>
      <c r="V72" s="31"/>
      <c r="W72" s="31"/>
      <c r="X72" s="31"/>
      <c r="Y72" s="31"/>
      <c r="Z72" s="28"/>
      <c r="AA72" s="338"/>
      <c r="AB72" s="49"/>
      <c r="AC72" s="487"/>
    </row>
    <row r="73" spans="1:29" ht="18">
      <c r="A73" s="51" t="s">
        <v>479</v>
      </c>
      <c r="B73" s="50"/>
      <c r="C73" s="50"/>
      <c r="D73" s="50"/>
      <c r="E73" s="50"/>
      <c r="F73" s="50"/>
      <c r="G73" s="50"/>
      <c r="H73" s="50"/>
      <c r="I73" s="50">
        <v>1135728</v>
      </c>
      <c r="J73" s="50">
        <v>1135728</v>
      </c>
      <c r="K73" s="50">
        <v>1135728</v>
      </c>
      <c r="L73" s="50"/>
      <c r="M73" s="50"/>
      <c r="N73" s="834"/>
      <c r="O73" s="1629"/>
      <c r="P73" s="691"/>
      <c r="Q73" s="342"/>
      <c r="R73" s="28"/>
      <c r="S73" s="28"/>
      <c r="T73" s="28"/>
      <c r="U73" s="28"/>
      <c r="V73" s="31"/>
      <c r="W73" s="31"/>
      <c r="X73" s="31"/>
      <c r="Y73" s="31"/>
      <c r="Z73" s="28"/>
      <c r="AA73" s="338"/>
      <c r="AB73" s="49"/>
      <c r="AC73" s="487"/>
    </row>
    <row r="74" spans="1:29" ht="30.75">
      <c r="A74" s="51" t="s">
        <v>617</v>
      </c>
      <c r="B74" s="50">
        <v>341770</v>
      </c>
      <c r="C74" s="50">
        <v>341770</v>
      </c>
      <c r="D74" s="50">
        <v>341770</v>
      </c>
      <c r="E74" s="50">
        <v>335530</v>
      </c>
      <c r="F74" s="50"/>
      <c r="G74" s="50">
        <v>335530</v>
      </c>
      <c r="H74" s="1630">
        <f>SUM(G74/E74)</f>
        <v>1</v>
      </c>
      <c r="I74" s="50"/>
      <c r="J74" s="50"/>
      <c r="K74" s="50"/>
      <c r="L74" s="50"/>
      <c r="M74" s="50"/>
      <c r="N74" s="834"/>
      <c r="O74" s="1629"/>
      <c r="P74" s="691"/>
      <c r="Q74" s="342"/>
      <c r="R74" s="28"/>
      <c r="S74" s="28"/>
      <c r="T74" s="28"/>
      <c r="U74" s="28"/>
      <c r="V74" s="31"/>
      <c r="W74" s="31"/>
      <c r="X74" s="31"/>
      <c r="Y74" s="31"/>
      <c r="Z74" s="28"/>
      <c r="AA74" s="338"/>
      <c r="AB74" s="49"/>
      <c r="AC74" s="487"/>
    </row>
    <row r="75" spans="1:29" ht="18" hidden="1">
      <c r="A75" s="51"/>
      <c r="B75" s="50"/>
      <c r="C75" s="50"/>
      <c r="D75" s="50"/>
      <c r="E75" s="50"/>
      <c r="F75" s="50"/>
      <c r="G75" s="50"/>
      <c r="H75" s="1630"/>
      <c r="I75" s="50"/>
      <c r="J75" s="50"/>
      <c r="K75" s="50"/>
      <c r="L75" s="50"/>
      <c r="M75" s="50"/>
      <c r="N75" s="50"/>
      <c r="O75" s="343"/>
      <c r="P75" s="691"/>
      <c r="Q75" s="342"/>
      <c r="R75" s="28"/>
      <c r="S75" s="28"/>
      <c r="T75" s="28"/>
      <c r="U75" s="28"/>
      <c r="V75" s="31"/>
      <c r="W75" s="31"/>
      <c r="X75" s="31"/>
      <c r="Y75" s="31"/>
      <c r="Z75" s="28"/>
      <c r="AA75" s="338"/>
      <c r="AB75" s="49"/>
      <c r="AC75" s="487"/>
    </row>
    <row r="76" spans="1:29" ht="18" hidden="1">
      <c r="A76" s="51"/>
      <c r="B76" s="50"/>
      <c r="C76" s="50"/>
      <c r="D76" s="50"/>
      <c r="E76" s="50"/>
      <c r="F76" s="50"/>
      <c r="G76" s="50"/>
      <c r="H76" s="1630"/>
      <c r="I76" s="50"/>
      <c r="J76" s="50"/>
      <c r="K76" s="50"/>
      <c r="L76" s="50"/>
      <c r="M76" s="50"/>
      <c r="N76" s="50"/>
      <c r="O76" s="343"/>
      <c r="P76" s="691"/>
      <c r="Q76" s="342"/>
      <c r="R76" s="28"/>
      <c r="S76" s="28"/>
      <c r="T76" s="28"/>
      <c r="U76" s="28"/>
      <c r="V76" s="31"/>
      <c r="W76" s="31"/>
      <c r="X76" s="31"/>
      <c r="Y76" s="31"/>
      <c r="Z76" s="28"/>
      <c r="AA76" s="338"/>
      <c r="AB76" s="49"/>
      <c r="AC76" s="487"/>
    </row>
    <row r="77" spans="1:29" ht="18" hidden="1">
      <c r="A77" s="51"/>
      <c r="B77" s="50"/>
      <c r="C77" s="50"/>
      <c r="D77" s="50"/>
      <c r="E77" s="50"/>
      <c r="F77" s="50"/>
      <c r="G77" s="50"/>
      <c r="H77" s="1630"/>
      <c r="I77" s="50"/>
      <c r="J77" s="50"/>
      <c r="K77" s="50"/>
      <c r="L77" s="50"/>
      <c r="M77" s="50"/>
      <c r="N77" s="50"/>
      <c r="O77" s="343"/>
      <c r="P77" s="691"/>
      <c r="Q77" s="342"/>
      <c r="R77" s="28"/>
      <c r="S77" s="28"/>
      <c r="T77" s="28"/>
      <c r="U77" s="28"/>
      <c r="V77" s="31"/>
      <c r="W77" s="31"/>
      <c r="X77" s="31"/>
      <c r="Y77" s="31"/>
      <c r="Z77" s="28"/>
      <c r="AA77" s="338"/>
      <c r="AB77" s="49"/>
      <c r="AC77" s="487"/>
    </row>
    <row r="78" spans="1:29" ht="18" hidden="1">
      <c r="A78" s="51"/>
      <c r="B78" s="50"/>
      <c r="C78" s="50"/>
      <c r="D78" s="50"/>
      <c r="E78" s="50"/>
      <c r="F78" s="50"/>
      <c r="G78" s="50"/>
      <c r="H78" s="1630"/>
      <c r="I78" s="50"/>
      <c r="J78" s="50"/>
      <c r="K78" s="50"/>
      <c r="L78" s="50"/>
      <c r="M78" s="50"/>
      <c r="N78" s="50"/>
      <c r="O78" s="343"/>
      <c r="P78" s="691"/>
      <c r="Q78" s="342"/>
      <c r="R78" s="28"/>
      <c r="S78" s="28"/>
      <c r="T78" s="28"/>
      <c r="U78" s="28"/>
      <c r="V78" s="31"/>
      <c r="W78" s="31"/>
      <c r="X78" s="31"/>
      <c r="Y78" s="31"/>
      <c r="Z78" s="28"/>
      <c r="AA78" s="338"/>
      <c r="AB78" s="49"/>
      <c r="AC78" s="487"/>
    </row>
    <row r="79" spans="1:29" ht="18">
      <c r="A79" s="51" t="s">
        <v>539</v>
      </c>
      <c r="B79" s="50"/>
      <c r="C79" s="50"/>
      <c r="D79" s="50"/>
      <c r="E79" s="50"/>
      <c r="F79" s="50"/>
      <c r="G79" s="50"/>
      <c r="H79" s="1630"/>
      <c r="I79" s="50">
        <v>239220</v>
      </c>
      <c r="J79" s="50">
        <v>239220</v>
      </c>
      <c r="K79" s="50">
        <v>239220</v>
      </c>
      <c r="L79" s="50">
        <v>232290</v>
      </c>
      <c r="M79" s="343">
        <v>232290</v>
      </c>
      <c r="N79" s="50"/>
      <c r="O79" s="343">
        <v>232290</v>
      </c>
      <c r="P79" s="691">
        <f>SUM(O79/L79)</f>
        <v>1</v>
      </c>
      <c r="Q79" s="342"/>
      <c r="R79" s="28"/>
      <c r="S79" s="28"/>
      <c r="T79" s="28"/>
      <c r="U79" s="28"/>
      <c r="V79" s="31"/>
      <c r="W79" s="31"/>
      <c r="X79" s="31"/>
      <c r="Y79" s="31"/>
      <c r="Z79" s="28"/>
      <c r="AA79" s="338"/>
      <c r="AB79" s="49"/>
      <c r="AC79" s="487"/>
    </row>
    <row r="80" spans="1:29" ht="39" customHeight="1">
      <c r="A80" s="51" t="s">
        <v>595</v>
      </c>
      <c r="B80" s="50">
        <v>143748439</v>
      </c>
      <c r="C80" s="50">
        <v>143748439</v>
      </c>
      <c r="D80" s="50">
        <f>143748439-2973520</f>
        <v>140774919</v>
      </c>
      <c r="E80" s="50">
        <v>142879252</v>
      </c>
      <c r="F80" s="50"/>
      <c r="G80" s="50">
        <v>142879252</v>
      </c>
      <c r="H80" s="1630">
        <f aca="true" t="shared" si="4" ref="H80:H91">SUM(G80/E80)</f>
        <v>1</v>
      </c>
      <c r="I80" s="50"/>
      <c r="J80" s="50"/>
      <c r="K80" s="50"/>
      <c r="L80" s="50"/>
      <c r="M80" s="50"/>
      <c r="N80" s="50"/>
      <c r="O80" s="343"/>
      <c r="P80" s="1632"/>
      <c r="Q80" s="342"/>
      <c r="R80" s="28"/>
      <c r="S80" s="28"/>
      <c r="T80" s="28"/>
      <c r="U80" s="28"/>
      <c r="V80" s="31"/>
      <c r="W80" s="31"/>
      <c r="X80" s="31"/>
      <c r="Y80" s="31"/>
      <c r="Z80" s="28"/>
      <c r="AA80" s="338"/>
      <c r="AB80" s="49"/>
      <c r="AC80" s="487"/>
    </row>
    <row r="81" spans="1:29" ht="39" customHeight="1" hidden="1">
      <c r="A81" s="51" t="s">
        <v>528</v>
      </c>
      <c r="B81" s="50"/>
      <c r="C81" s="50"/>
      <c r="D81" s="50"/>
      <c r="E81" s="50"/>
      <c r="F81" s="50"/>
      <c r="G81" s="50"/>
      <c r="H81" s="1630" t="e">
        <f t="shared" si="4"/>
        <v>#DIV/0!</v>
      </c>
      <c r="I81" s="50"/>
      <c r="J81" s="50"/>
      <c r="K81" s="50"/>
      <c r="L81" s="50"/>
      <c r="M81" s="50"/>
      <c r="N81" s="50"/>
      <c r="O81" s="343"/>
      <c r="P81" s="1632"/>
      <c r="Q81" s="342"/>
      <c r="R81" s="28"/>
      <c r="S81" s="28"/>
      <c r="T81" s="28"/>
      <c r="U81" s="28"/>
      <c r="V81" s="31"/>
      <c r="W81" s="31"/>
      <c r="X81" s="31"/>
      <c r="Y81" s="31"/>
      <c r="Z81" s="28"/>
      <c r="AA81" s="338"/>
      <c r="AB81" s="49"/>
      <c r="AC81" s="487"/>
    </row>
    <row r="82" spans="1:29" ht="18" hidden="1">
      <c r="A82" s="51" t="s">
        <v>233</v>
      </c>
      <c r="B82" s="50"/>
      <c r="C82" s="50"/>
      <c r="D82" s="50"/>
      <c r="E82" s="50"/>
      <c r="F82" s="50"/>
      <c r="G82" s="50"/>
      <c r="H82" s="1630" t="e">
        <f t="shared" si="4"/>
        <v>#DIV/0!</v>
      </c>
      <c r="I82" s="50"/>
      <c r="J82" s="50"/>
      <c r="K82" s="50"/>
      <c r="L82" s="50"/>
      <c r="M82" s="50"/>
      <c r="N82" s="50"/>
      <c r="O82" s="343"/>
      <c r="P82" s="1632"/>
      <c r="Q82" s="342"/>
      <c r="R82" s="28"/>
      <c r="S82" s="28"/>
      <c r="T82" s="28"/>
      <c r="U82" s="28"/>
      <c r="V82" s="31"/>
      <c r="W82" s="31"/>
      <c r="X82" s="31"/>
      <c r="Y82" s="31"/>
      <c r="Z82" s="28"/>
      <c r="AA82" s="338"/>
      <c r="AB82" s="49"/>
      <c r="AC82" s="487"/>
    </row>
    <row r="83" spans="1:29" ht="18">
      <c r="A83" s="51" t="s">
        <v>517</v>
      </c>
      <c r="B83" s="50">
        <v>500000</v>
      </c>
      <c r="C83" s="50">
        <v>500000</v>
      </c>
      <c r="D83" s="50">
        <v>500000</v>
      </c>
      <c r="E83" s="50">
        <v>480000</v>
      </c>
      <c r="F83" s="50"/>
      <c r="G83" s="50">
        <v>480000</v>
      </c>
      <c r="H83" s="1630">
        <f t="shared" si="4"/>
        <v>1</v>
      </c>
      <c r="I83" s="50"/>
      <c r="J83" s="50"/>
      <c r="K83" s="50"/>
      <c r="L83" s="50"/>
      <c r="M83" s="50"/>
      <c r="N83" s="50"/>
      <c r="O83" s="343"/>
      <c r="P83" s="1632"/>
      <c r="Q83" s="342"/>
      <c r="R83" s="28"/>
      <c r="S83" s="28"/>
      <c r="T83" s="28"/>
      <c r="U83" s="28"/>
      <c r="V83" s="31"/>
      <c r="W83" s="31"/>
      <c r="X83" s="31"/>
      <c r="Y83" s="31"/>
      <c r="Z83" s="28"/>
      <c r="AA83" s="338"/>
      <c r="AB83" s="49"/>
      <c r="AC83" s="487"/>
    </row>
    <row r="84" spans="1:29" ht="47.25" customHeight="1" hidden="1">
      <c r="A84" s="51"/>
      <c r="B84" s="50"/>
      <c r="C84" s="50"/>
      <c r="D84" s="50"/>
      <c r="E84" s="50"/>
      <c r="F84" s="50"/>
      <c r="G84" s="50"/>
      <c r="H84" s="1630" t="e">
        <f t="shared" si="4"/>
        <v>#DIV/0!</v>
      </c>
      <c r="I84" s="50"/>
      <c r="J84" s="50"/>
      <c r="K84" s="50"/>
      <c r="L84" s="50"/>
      <c r="M84" s="50"/>
      <c r="N84" s="50"/>
      <c r="O84" s="343"/>
      <c r="P84" s="1632"/>
      <c r="Q84" s="342"/>
      <c r="R84" s="28"/>
      <c r="S84" s="28"/>
      <c r="T84" s="28"/>
      <c r="U84" s="28"/>
      <c r="V84" s="31"/>
      <c r="W84" s="31"/>
      <c r="X84" s="31"/>
      <c r="Y84" s="31"/>
      <c r="Z84" s="28"/>
      <c r="AA84" s="338"/>
      <c r="AB84" s="49"/>
      <c r="AC84" s="487"/>
    </row>
    <row r="85" spans="1:29" ht="39" customHeight="1" hidden="1">
      <c r="A85" s="210"/>
      <c r="B85" s="50"/>
      <c r="C85" s="50"/>
      <c r="D85" s="50"/>
      <c r="E85" s="50"/>
      <c r="F85" s="50"/>
      <c r="G85" s="50"/>
      <c r="H85" s="1630" t="e">
        <f t="shared" si="4"/>
        <v>#DIV/0!</v>
      </c>
      <c r="I85" s="50"/>
      <c r="J85" s="50"/>
      <c r="K85" s="50"/>
      <c r="L85" s="50"/>
      <c r="M85" s="50"/>
      <c r="N85" s="50"/>
      <c r="O85" s="343"/>
      <c r="P85" s="1632"/>
      <c r="Q85" s="342"/>
      <c r="R85" s="28"/>
      <c r="S85" s="28"/>
      <c r="T85" s="28"/>
      <c r="U85" s="28"/>
      <c r="V85" s="31"/>
      <c r="W85" s="31"/>
      <c r="X85" s="31"/>
      <c r="Y85" s="31"/>
      <c r="Z85" s="28"/>
      <c r="AA85" s="338"/>
      <c r="AB85" s="49"/>
      <c r="AC85" s="487"/>
    </row>
    <row r="86" spans="1:29" ht="39" customHeight="1" hidden="1">
      <c r="A86" s="210"/>
      <c r="B86" s="50"/>
      <c r="C86" s="50"/>
      <c r="D86" s="50"/>
      <c r="E86" s="50"/>
      <c r="F86" s="50"/>
      <c r="G86" s="50"/>
      <c r="H86" s="1630" t="e">
        <f t="shared" si="4"/>
        <v>#DIV/0!</v>
      </c>
      <c r="I86" s="50"/>
      <c r="J86" s="50"/>
      <c r="K86" s="50"/>
      <c r="L86" s="50"/>
      <c r="M86" s="50"/>
      <c r="N86" s="50"/>
      <c r="O86" s="343"/>
      <c r="P86" s="1632"/>
      <c r="Q86" s="342"/>
      <c r="R86" s="28"/>
      <c r="S86" s="28"/>
      <c r="T86" s="28"/>
      <c r="U86" s="28"/>
      <c r="V86" s="31"/>
      <c r="W86" s="31"/>
      <c r="X86" s="31"/>
      <c r="Y86" s="31"/>
      <c r="Z86" s="28"/>
      <c r="AA86" s="338"/>
      <c r="AB86" s="49"/>
      <c r="AC86" s="487"/>
    </row>
    <row r="87" spans="1:29" ht="39" customHeight="1" hidden="1">
      <c r="A87" s="210"/>
      <c r="B87" s="50"/>
      <c r="C87" s="50"/>
      <c r="D87" s="50"/>
      <c r="E87" s="50"/>
      <c r="F87" s="50"/>
      <c r="G87" s="50"/>
      <c r="H87" s="1630" t="e">
        <f t="shared" si="4"/>
        <v>#DIV/0!</v>
      </c>
      <c r="I87" s="50"/>
      <c r="J87" s="50"/>
      <c r="K87" s="50"/>
      <c r="L87" s="50"/>
      <c r="M87" s="50"/>
      <c r="N87" s="50"/>
      <c r="O87" s="343"/>
      <c r="P87" s="1632"/>
      <c r="Q87" s="342"/>
      <c r="R87" s="28"/>
      <c r="S87" s="28"/>
      <c r="T87" s="28"/>
      <c r="U87" s="28"/>
      <c r="V87" s="31"/>
      <c r="W87" s="31"/>
      <c r="X87" s="31"/>
      <c r="Y87" s="31"/>
      <c r="Z87" s="28"/>
      <c r="AA87" s="338"/>
      <c r="AB87" s="49"/>
      <c r="AC87" s="487"/>
    </row>
    <row r="88" spans="1:29" ht="39" customHeight="1" hidden="1">
      <c r="A88" s="210"/>
      <c r="B88" s="50"/>
      <c r="C88" s="50"/>
      <c r="D88" s="50"/>
      <c r="E88" s="50"/>
      <c r="F88" s="50"/>
      <c r="G88" s="50"/>
      <c r="H88" s="1630" t="e">
        <f t="shared" si="4"/>
        <v>#DIV/0!</v>
      </c>
      <c r="I88" s="50"/>
      <c r="J88" s="50"/>
      <c r="K88" s="50"/>
      <c r="L88" s="50"/>
      <c r="M88" s="50"/>
      <c r="N88" s="50"/>
      <c r="O88" s="343"/>
      <c r="P88" s="1632"/>
      <c r="Q88" s="342"/>
      <c r="R88" s="28"/>
      <c r="S88" s="28"/>
      <c r="T88" s="28"/>
      <c r="U88" s="28"/>
      <c r="V88" s="31"/>
      <c r="W88" s="31"/>
      <c r="X88" s="31"/>
      <c r="Y88" s="31"/>
      <c r="Z88" s="28"/>
      <c r="AA88" s="338"/>
      <c r="AB88" s="49"/>
      <c r="AC88" s="487"/>
    </row>
    <row r="89" spans="1:29" ht="39" customHeight="1" hidden="1">
      <c r="A89" s="210"/>
      <c r="B89" s="50"/>
      <c r="C89" s="50"/>
      <c r="D89" s="50"/>
      <c r="E89" s="50"/>
      <c r="F89" s="50"/>
      <c r="G89" s="50"/>
      <c r="H89" s="1630" t="e">
        <f t="shared" si="4"/>
        <v>#DIV/0!</v>
      </c>
      <c r="I89" s="50"/>
      <c r="J89" s="50"/>
      <c r="K89" s="50"/>
      <c r="L89" s="50"/>
      <c r="M89" s="50"/>
      <c r="N89" s="50"/>
      <c r="O89" s="343"/>
      <c r="P89" s="1632"/>
      <c r="Q89" s="342"/>
      <c r="R89" s="28"/>
      <c r="S89" s="28"/>
      <c r="T89" s="28"/>
      <c r="U89" s="28"/>
      <c r="V89" s="31"/>
      <c r="W89" s="31"/>
      <c r="X89" s="31"/>
      <c r="Y89" s="31"/>
      <c r="Z89" s="28"/>
      <c r="AA89" s="338"/>
      <c r="AB89" s="49"/>
      <c r="AC89" s="487"/>
    </row>
    <row r="90" spans="1:29" ht="39" customHeight="1" hidden="1">
      <c r="A90" s="210"/>
      <c r="B90" s="50"/>
      <c r="C90" s="50"/>
      <c r="D90" s="50"/>
      <c r="E90" s="50"/>
      <c r="F90" s="50"/>
      <c r="G90" s="50"/>
      <c r="H90" s="1630" t="e">
        <f t="shared" si="4"/>
        <v>#DIV/0!</v>
      </c>
      <c r="I90" s="50"/>
      <c r="J90" s="50"/>
      <c r="K90" s="50"/>
      <c r="L90" s="50"/>
      <c r="M90" s="50"/>
      <c r="N90" s="50"/>
      <c r="O90" s="343"/>
      <c r="P90" s="1632"/>
      <c r="Q90" s="342"/>
      <c r="R90" s="28"/>
      <c r="S90" s="28"/>
      <c r="T90" s="28"/>
      <c r="U90" s="28"/>
      <c r="V90" s="31"/>
      <c r="W90" s="31"/>
      <c r="X90" s="31"/>
      <c r="Y90" s="31"/>
      <c r="Z90" s="28"/>
      <c r="AA90" s="338"/>
      <c r="AB90" s="49"/>
      <c r="AC90" s="487"/>
    </row>
    <row r="91" spans="1:29" s="12" customFormat="1" ht="27" customHeight="1" thickBot="1">
      <c r="A91" s="27" t="s">
        <v>1</v>
      </c>
      <c r="B91" s="33">
        <f aca="true" t="shared" si="5" ref="B91:G91">SUM(B71:B85)</f>
        <v>144590209</v>
      </c>
      <c r="C91" s="33">
        <f t="shared" si="5"/>
        <v>144590209</v>
      </c>
      <c r="D91" s="33">
        <f t="shared" si="5"/>
        <v>141616689</v>
      </c>
      <c r="E91" s="1627">
        <f t="shared" si="5"/>
        <v>143694782</v>
      </c>
      <c r="F91" s="33">
        <f t="shared" si="5"/>
        <v>0</v>
      </c>
      <c r="G91" s="33">
        <f t="shared" si="5"/>
        <v>143694782</v>
      </c>
      <c r="H91" s="1631">
        <f t="shared" si="4"/>
        <v>1</v>
      </c>
      <c r="I91" s="693">
        <f aca="true" t="shared" si="6" ref="I91:O91">SUM(I71:I85)</f>
        <v>1374948</v>
      </c>
      <c r="J91" s="33">
        <f t="shared" si="6"/>
        <v>1374948</v>
      </c>
      <c r="K91" s="33">
        <f t="shared" si="6"/>
        <v>1374948</v>
      </c>
      <c r="L91" s="1628">
        <f t="shared" si="6"/>
        <v>232290</v>
      </c>
      <c r="M91" s="1628">
        <f t="shared" si="6"/>
        <v>232290</v>
      </c>
      <c r="N91" s="694">
        <f t="shared" si="6"/>
        <v>0</v>
      </c>
      <c r="O91" s="1628">
        <f t="shared" si="6"/>
        <v>232290</v>
      </c>
      <c r="P91" s="695">
        <f>SUM(O91/L91)</f>
        <v>1</v>
      </c>
      <c r="Q91" s="693">
        <f aca="true" t="shared" si="7" ref="Q91:V91">SUM(Q71:Q85)</f>
        <v>0</v>
      </c>
      <c r="R91" s="33">
        <f t="shared" si="7"/>
        <v>0</v>
      </c>
      <c r="S91" s="33">
        <f t="shared" si="7"/>
        <v>0</v>
      </c>
      <c r="T91" s="33">
        <f t="shared" si="7"/>
        <v>0</v>
      </c>
      <c r="U91" s="33">
        <f t="shared" si="7"/>
        <v>0</v>
      </c>
      <c r="V91" s="33">
        <f t="shared" si="7"/>
        <v>0</v>
      </c>
      <c r="W91" s="33">
        <f>SUM(W71:W90)</f>
        <v>0</v>
      </c>
      <c r="X91" s="33"/>
      <c r="Y91" s="33"/>
      <c r="Z91" s="33"/>
      <c r="AA91" s="755"/>
      <c r="AB91" s="233"/>
      <c r="AC91" s="487"/>
    </row>
    <row r="92" spans="1:28" ht="18">
      <c r="A92" s="964"/>
      <c r="B92" s="968"/>
      <c r="C92" s="14"/>
      <c r="D92" s="14"/>
      <c r="E92" s="968"/>
      <c r="F92" s="14"/>
      <c r="G92" s="965"/>
      <c r="H92" s="965"/>
      <c r="I92" s="966"/>
      <c r="J92" s="965"/>
      <c r="K92" s="966"/>
      <c r="L92" s="965"/>
      <c r="M92" s="966"/>
      <c r="N92" s="966"/>
      <c r="O92" s="966"/>
      <c r="P92" s="14"/>
      <c r="Q92" s="14"/>
      <c r="R92" s="14"/>
      <c r="S92" s="14"/>
      <c r="T92" s="14"/>
      <c r="U92" s="14"/>
      <c r="V92" s="832"/>
      <c r="W92" s="14"/>
      <c r="X92" s="14"/>
      <c r="Y92" s="14"/>
      <c r="Z92" s="14"/>
      <c r="AA92" s="14"/>
      <c r="AB92" s="14"/>
    </row>
    <row r="93" spans="1:28" ht="14.25" hidden="1">
      <c r="A93" s="1983"/>
      <c r="B93" s="1983"/>
      <c r="C93" s="1983"/>
      <c r="D93" s="1983"/>
      <c r="E93" s="1983"/>
      <c r="F93" s="1983"/>
      <c r="G93" s="1983"/>
      <c r="H93" s="1983"/>
      <c r="I93" s="1983"/>
      <c r="J93" s="1983"/>
      <c r="K93" s="1983"/>
      <c r="L93" s="1983"/>
      <c r="M93" s="1983"/>
      <c r="N93" s="1983"/>
      <c r="O93" s="1983"/>
      <c r="P93" s="1983"/>
      <c r="Q93" s="1983"/>
      <c r="R93" s="1983"/>
      <c r="S93" s="1983"/>
      <c r="T93" s="1983"/>
      <c r="U93" s="1983"/>
      <c r="V93" s="1983"/>
      <c r="W93" s="14"/>
      <c r="X93" s="14"/>
      <c r="Y93" s="14"/>
      <c r="Z93" s="14"/>
      <c r="AA93" s="14"/>
      <c r="AB93" s="14"/>
    </row>
    <row r="94" spans="1:28" ht="18.75" hidden="1" thickBot="1">
      <c r="A94" s="967"/>
      <c r="B94" s="14"/>
      <c r="C94" s="14"/>
      <c r="D94" s="14"/>
      <c r="E94" s="968"/>
      <c r="F94" s="968"/>
      <c r="G94" s="968"/>
      <c r="H94" s="14"/>
      <c r="I94" s="14"/>
      <c r="J94" s="14"/>
      <c r="K94" s="14"/>
      <c r="L94" s="14"/>
      <c r="M94" s="14"/>
      <c r="N94" s="969"/>
      <c r="O94" s="969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ht="15.75" hidden="1">
      <c r="A95" s="1984"/>
      <c r="B95" s="1986"/>
      <c r="C95" s="1987"/>
      <c r="D95" s="1987"/>
      <c r="E95" s="1987"/>
      <c r="F95" s="1987"/>
      <c r="G95" s="1987"/>
      <c r="H95" s="1987"/>
      <c r="I95" s="1987"/>
      <c r="J95" s="1987"/>
      <c r="K95" s="1987"/>
      <c r="L95" s="1987"/>
      <c r="M95" s="1987"/>
      <c r="N95" s="1987"/>
      <c r="O95" s="1987"/>
      <c r="P95" s="1987"/>
      <c r="Q95" s="1988"/>
      <c r="R95" s="1989"/>
      <c r="S95" s="1989"/>
      <c r="T95" s="1989"/>
      <c r="U95" s="1989"/>
      <c r="V95" s="1989"/>
      <c r="W95" s="1989"/>
      <c r="X95" s="1989"/>
      <c r="Y95" s="1989"/>
      <c r="Z95" s="1989"/>
      <c r="AA95" s="1986"/>
      <c r="AB95" s="1990"/>
    </row>
    <row r="96" spans="1:28" ht="15.75" hidden="1">
      <c r="A96" s="1985"/>
      <c r="B96" s="1991"/>
      <c r="C96" s="1992"/>
      <c r="D96" s="1992"/>
      <c r="E96" s="1992"/>
      <c r="F96" s="1992"/>
      <c r="G96" s="1992"/>
      <c r="H96" s="1993"/>
      <c r="I96" s="1991"/>
      <c r="J96" s="1992"/>
      <c r="K96" s="1992"/>
      <c r="L96" s="1992"/>
      <c r="M96" s="1992"/>
      <c r="N96" s="1992"/>
      <c r="O96" s="1992"/>
      <c r="P96" s="1992"/>
      <c r="Q96" s="1994"/>
      <c r="R96" s="1995"/>
      <c r="S96" s="1995"/>
      <c r="T96" s="1995"/>
      <c r="U96" s="1995"/>
      <c r="V96" s="1995"/>
      <c r="W96" s="1995"/>
      <c r="X96" s="1995"/>
      <c r="Y96" s="1995"/>
      <c r="Z96" s="1995"/>
      <c r="AA96" s="1991"/>
      <c r="AB96" s="1996"/>
    </row>
    <row r="97" spans="1:28" ht="15.75" hidden="1">
      <c r="A97" s="970"/>
      <c r="B97" s="973"/>
      <c r="C97" s="973"/>
      <c r="D97" s="974"/>
      <c r="E97" s="973"/>
      <c r="F97" s="973"/>
      <c r="G97" s="973"/>
      <c r="H97" s="973"/>
      <c r="I97" s="973"/>
      <c r="J97" s="972"/>
      <c r="K97" s="975"/>
      <c r="L97" s="976"/>
      <c r="M97" s="973"/>
      <c r="N97" s="977"/>
      <c r="O97" s="977"/>
      <c r="P97" s="976"/>
      <c r="Q97" s="971"/>
      <c r="R97" s="973"/>
      <c r="S97" s="974"/>
      <c r="T97" s="973"/>
      <c r="U97" s="973"/>
      <c r="V97" s="973"/>
      <c r="W97" s="973"/>
      <c r="X97" s="974"/>
      <c r="Y97" s="973"/>
      <c r="Z97" s="973"/>
      <c r="AA97" s="977"/>
      <c r="AB97" s="973"/>
    </row>
    <row r="98" spans="1:28" ht="18" hidden="1">
      <c r="A98" s="26"/>
      <c r="B98" s="28"/>
      <c r="C98" s="28"/>
      <c r="D98" s="28"/>
      <c r="E98" s="28"/>
      <c r="F98" s="28"/>
      <c r="G98" s="28"/>
      <c r="H98" s="691"/>
      <c r="I98" s="28"/>
      <c r="J98" s="28"/>
      <c r="K98" s="28"/>
      <c r="L98" s="28"/>
      <c r="M98" s="338"/>
      <c r="N98" s="338"/>
      <c r="O98" s="338"/>
      <c r="P98" s="338"/>
      <c r="Q98" s="342"/>
      <c r="R98" s="28"/>
      <c r="S98" s="28"/>
      <c r="T98" s="28"/>
      <c r="U98" s="28"/>
      <c r="V98" s="28"/>
      <c r="W98" s="28"/>
      <c r="X98" s="28"/>
      <c r="Y98" s="28"/>
      <c r="Z98" s="28"/>
      <c r="AA98" s="338"/>
      <c r="AB98" s="49"/>
    </row>
    <row r="99" spans="1:28" ht="18" hidden="1">
      <c r="A99" s="26"/>
      <c r="B99" s="834"/>
      <c r="C99" s="834"/>
      <c r="D99" s="834"/>
      <c r="E99" s="834"/>
      <c r="F99" s="834"/>
      <c r="G99" s="834"/>
      <c r="H99" s="691"/>
      <c r="I99" s="834"/>
      <c r="J99" s="834"/>
      <c r="K99" s="834"/>
      <c r="L99" s="834"/>
      <c r="M99" s="833"/>
      <c r="N99" s="833"/>
      <c r="O99" s="833"/>
      <c r="P99" s="833"/>
      <c r="Q99" s="342"/>
      <c r="R99" s="28"/>
      <c r="S99" s="28"/>
      <c r="T99" s="28"/>
      <c r="U99" s="28"/>
      <c r="V99" s="28"/>
      <c r="W99" s="28"/>
      <c r="X99" s="28"/>
      <c r="Y99" s="28"/>
      <c r="Z99" s="28"/>
      <c r="AA99" s="338"/>
      <c r="AB99" s="49"/>
    </row>
    <row r="100" spans="1:28" ht="18" hidden="1">
      <c r="A100" s="210"/>
      <c r="B100" s="834"/>
      <c r="C100" s="834"/>
      <c r="D100" s="834"/>
      <c r="E100" s="834"/>
      <c r="F100" s="834"/>
      <c r="G100" s="834"/>
      <c r="H100" s="834"/>
      <c r="I100" s="834"/>
      <c r="J100" s="834"/>
      <c r="K100" s="834"/>
      <c r="L100" s="834"/>
      <c r="M100" s="834"/>
      <c r="N100" s="834"/>
      <c r="O100" s="833"/>
      <c r="P100" s="691"/>
      <c r="Q100" s="342"/>
      <c r="R100" s="28"/>
      <c r="S100" s="28"/>
      <c r="T100" s="28"/>
      <c r="U100" s="28"/>
      <c r="V100" s="28"/>
      <c r="W100" s="28"/>
      <c r="X100" s="28"/>
      <c r="Y100" s="28"/>
      <c r="Z100" s="28"/>
      <c r="AA100" s="338"/>
      <c r="AB100" s="49"/>
    </row>
    <row r="101" spans="1:28" ht="18" hidden="1">
      <c r="A101" s="210"/>
      <c r="B101" s="834"/>
      <c r="C101" s="834"/>
      <c r="D101" s="834"/>
      <c r="E101" s="834"/>
      <c r="F101" s="834"/>
      <c r="G101" s="834"/>
      <c r="H101" s="834"/>
      <c r="I101" s="834"/>
      <c r="J101" s="834"/>
      <c r="K101" s="834"/>
      <c r="L101" s="834"/>
      <c r="M101" s="834"/>
      <c r="N101" s="834"/>
      <c r="O101" s="833"/>
      <c r="P101" s="691"/>
      <c r="Q101" s="342"/>
      <c r="R101" s="28"/>
      <c r="S101" s="28"/>
      <c r="T101" s="28"/>
      <c r="U101" s="28"/>
      <c r="V101" s="28"/>
      <c r="W101" s="28"/>
      <c r="X101" s="28"/>
      <c r="Y101" s="28"/>
      <c r="Z101" s="28"/>
      <c r="AA101" s="338"/>
      <c r="AB101" s="49"/>
    </row>
    <row r="102" spans="1:28" ht="18" hidden="1">
      <c r="A102" s="210"/>
      <c r="B102" s="834"/>
      <c r="C102" s="834"/>
      <c r="D102" s="834"/>
      <c r="E102" s="834"/>
      <c r="F102" s="834"/>
      <c r="G102" s="834"/>
      <c r="H102" s="834"/>
      <c r="I102" s="834"/>
      <c r="J102" s="834"/>
      <c r="K102" s="834"/>
      <c r="L102" s="834"/>
      <c r="M102" s="834"/>
      <c r="N102" s="834"/>
      <c r="O102" s="833"/>
      <c r="P102" s="691"/>
      <c r="Q102" s="342"/>
      <c r="R102" s="28"/>
      <c r="S102" s="28"/>
      <c r="T102" s="28"/>
      <c r="U102" s="28"/>
      <c r="V102" s="28"/>
      <c r="W102" s="28"/>
      <c r="X102" s="28"/>
      <c r="Y102" s="28"/>
      <c r="Z102" s="28"/>
      <c r="AA102" s="338"/>
      <c r="AB102" s="49"/>
    </row>
    <row r="103" spans="1:28" ht="18" hidden="1">
      <c r="A103" s="210"/>
      <c r="B103" s="834"/>
      <c r="C103" s="834"/>
      <c r="D103" s="834"/>
      <c r="E103" s="834"/>
      <c r="F103" s="834"/>
      <c r="G103" s="834"/>
      <c r="H103" s="834"/>
      <c r="I103" s="834"/>
      <c r="J103" s="834"/>
      <c r="K103" s="834"/>
      <c r="L103" s="834"/>
      <c r="M103" s="834"/>
      <c r="N103" s="834"/>
      <c r="O103" s="833"/>
      <c r="P103" s="691"/>
      <c r="Q103" s="342"/>
      <c r="R103" s="28"/>
      <c r="S103" s="28"/>
      <c r="T103" s="28"/>
      <c r="U103" s="28"/>
      <c r="V103" s="28"/>
      <c r="W103" s="28"/>
      <c r="X103" s="28"/>
      <c r="Y103" s="28"/>
      <c r="Z103" s="28"/>
      <c r="AA103" s="338"/>
      <c r="AB103" s="49"/>
    </row>
    <row r="104" spans="1:28" ht="18" hidden="1">
      <c r="A104" s="210"/>
      <c r="B104" s="834"/>
      <c r="C104" s="834"/>
      <c r="D104" s="834"/>
      <c r="E104" s="834"/>
      <c r="F104" s="834"/>
      <c r="G104" s="834"/>
      <c r="H104" s="834"/>
      <c r="I104" s="834"/>
      <c r="J104" s="834"/>
      <c r="K104" s="834"/>
      <c r="L104" s="834"/>
      <c r="M104" s="834"/>
      <c r="N104" s="834"/>
      <c r="O104" s="833"/>
      <c r="P104" s="691"/>
      <c r="Q104" s="342"/>
      <c r="R104" s="28"/>
      <c r="S104" s="28"/>
      <c r="T104" s="28"/>
      <c r="U104" s="28"/>
      <c r="V104" s="28"/>
      <c r="W104" s="28"/>
      <c r="X104" s="28"/>
      <c r="Y104" s="28"/>
      <c r="Z104" s="28"/>
      <c r="AA104" s="338"/>
      <c r="AB104" s="49"/>
    </row>
    <row r="105" spans="1:28" ht="18" hidden="1">
      <c r="A105" s="210"/>
      <c r="B105" s="834"/>
      <c r="C105" s="834"/>
      <c r="D105" s="834"/>
      <c r="E105" s="834"/>
      <c r="F105" s="834"/>
      <c r="G105" s="834"/>
      <c r="H105" s="834"/>
      <c r="I105" s="834"/>
      <c r="J105" s="834"/>
      <c r="K105" s="834"/>
      <c r="L105" s="834"/>
      <c r="M105" s="834"/>
      <c r="N105" s="834"/>
      <c r="O105" s="833"/>
      <c r="P105" s="691"/>
      <c r="Q105" s="342"/>
      <c r="R105" s="28"/>
      <c r="S105" s="28"/>
      <c r="T105" s="28"/>
      <c r="U105" s="28"/>
      <c r="V105" s="28"/>
      <c r="W105" s="28"/>
      <c r="X105" s="28"/>
      <c r="Y105" s="28"/>
      <c r="Z105" s="28"/>
      <c r="AA105" s="338"/>
      <c r="AB105" s="49"/>
    </row>
    <row r="106" spans="1:28" ht="18" hidden="1">
      <c r="A106" s="210"/>
      <c r="B106" s="834"/>
      <c r="C106" s="834"/>
      <c r="D106" s="834"/>
      <c r="E106" s="834"/>
      <c r="F106" s="834"/>
      <c r="G106" s="834"/>
      <c r="H106" s="834"/>
      <c r="I106" s="834"/>
      <c r="J106" s="834"/>
      <c r="K106" s="834"/>
      <c r="L106" s="834"/>
      <c r="M106" s="834"/>
      <c r="N106" s="834"/>
      <c r="O106" s="833"/>
      <c r="P106" s="691"/>
      <c r="Q106" s="342"/>
      <c r="R106" s="28"/>
      <c r="S106" s="28"/>
      <c r="T106" s="28"/>
      <c r="U106" s="28"/>
      <c r="V106" s="28"/>
      <c r="W106" s="28"/>
      <c r="X106" s="28"/>
      <c r="Y106" s="28"/>
      <c r="Z106" s="28"/>
      <c r="AA106" s="338"/>
      <c r="AB106" s="49"/>
    </row>
    <row r="107" spans="1:28" ht="18" hidden="1">
      <c r="A107" s="210"/>
      <c r="B107" s="834"/>
      <c r="C107" s="834"/>
      <c r="D107" s="834"/>
      <c r="E107" s="834"/>
      <c r="F107" s="834"/>
      <c r="G107" s="834"/>
      <c r="H107" s="834"/>
      <c r="I107" s="834"/>
      <c r="J107" s="834"/>
      <c r="K107" s="834"/>
      <c r="L107" s="834"/>
      <c r="M107" s="834"/>
      <c r="N107" s="834"/>
      <c r="O107" s="833"/>
      <c r="P107" s="691"/>
      <c r="Q107" s="342"/>
      <c r="R107" s="28"/>
      <c r="S107" s="28"/>
      <c r="T107" s="28"/>
      <c r="U107" s="28"/>
      <c r="V107" s="28"/>
      <c r="W107" s="28"/>
      <c r="X107" s="28"/>
      <c r="Y107" s="28"/>
      <c r="Z107" s="28"/>
      <c r="AA107" s="338"/>
      <c r="AB107" s="49"/>
    </row>
    <row r="108" spans="1:28" ht="18" hidden="1">
      <c r="A108" s="210"/>
      <c r="B108" s="834"/>
      <c r="C108" s="834"/>
      <c r="D108" s="834"/>
      <c r="E108" s="834"/>
      <c r="F108" s="834"/>
      <c r="G108" s="834"/>
      <c r="H108" s="691"/>
      <c r="I108" s="834"/>
      <c r="J108" s="834"/>
      <c r="K108" s="834"/>
      <c r="L108" s="834"/>
      <c r="M108" s="834"/>
      <c r="N108" s="834"/>
      <c r="O108" s="833"/>
      <c r="P108" s="833"/>
      <c r="Q108" s="342"/>
      <c r="R108" s="28"/>
      <c r="S108" s="28"/>
      <c r="T108" s="28"/>
      <c r="U108" s="28"/>
      <c r="V108" s="28"/>
      <c r="W108" s="28"/>
      <c r="X108" s="28"/>
      <c r="Y108" s="28"/>
      <c r="Z108" s="28"/>
      <c r="AA108" s="338"/>
      <c r="AB108" s="49"/>
    </row>
    <row r="109" spans="1:28" ht="18" hidden="1">
      <c r="A109" s="210"/>
      <c r="B109" s="834"/>
      <c r="C109" s="834"/>
      <c r="D109" s="834"/>
      <c r="E109" s="834"/>
      <c r="F109" s="834"/>
      <c r="G109" s="834"/>
      <c r="H109" s="834"/>
      <c r="I109" s="834"/>
      <c r="J109" s="834"/>
      <c r="K109" s="834"/>
      <c r="L109" s="834"/>
      <c r="M109" s="834"/>
      <c r="N109" s="834"/>
      <c r="O109" s="833"/>
      <c r="P109" s="833"/>
      <c r="Q109" s="342"/>
      <c r="R109" s="28"/>
      <c r="S109" s="28"/>
      <c r="T109" s="28"/>
      <c r="U109" s="28"/>
      <c r="V109" s="28"/>
      <c r="W109" s="28"/>
      <c r="X109" s="28"/>
      <c r="Y109" s="28"/>
      <c r="Z109" s="28"/>
      <c r="AA109" s="338"/>
      <c r="AB109" s="49"/>
    </row>
    <row r="110" spans="1:28" ht="18" hidden="1">
      <c r="A110" s="210"/>
      <c r="B110" s="834"/>
      <c r="C110" s="834"/>
      <c r="D110" s="834"/>
      <c r="E110" s="834"/>
      <c r="F110" s="834"/>
      <c r="G110" s="834"/>
      <c r="H110" s="834"/>
      <c r="I110" s="834"/>
      <c r="J110" s="834"/>
      <c r="K110" s="834"/>
      <c r="L110" s="834"/>
      <c r="M110" s="834"/>
      <c r="N110" s="834"/>
      <c r="O110" s="833"/>
      <c r="P110" s="833"/>
      <c r="Q110" s="342"/>
      <c r="R110" s="28"/>
      <c r="S110" s="28"/>
      <c r="T110" s="28"/>
      <c r="U110" s="28"/>
      <c r="V110" s="28"/>
      <c r="W110" s="28"/>
      <c r="X110" s="28"/>
      <c r="Y110" s="28"/>
      <c r="Z110" s="28"/>
      <c r="AA110" s="338"/>
      <c r="AB110" s="49"/>
    </row>
    <row r="111" spans="1:28" ht="18" hidden="1">
      <c r="A111" s="210"/>
      <c r="B111" s="834"/>
      <c r="C111" s="834"/>
      <c r="D111" s="834"/>
      <c r="E111" s="834"/>
      <c r="F111" s="834"/>
      <c r="G111" s="834"/>
      <c r="H111" s="834"/>
      <c r="I111" s="834"/>
      <c r="J111" s="834"/>
      <c r="K111" s="834"/>
      <c r="L111" s="834"/>
      <c r="M111" s="834"/>
      <c r="N111" s="834"/>
      <c r="O111" s="833"/>
      <c r="P111" s="833"/>
      <c r="Q111" s="342"/>
      <c r="R111" s="28"/>
      <c r="S111" s="28"/>
      <c r="T111" s="28"/>
      <c r="U111" s="28"/>
      <c r="V111" s="28"/>
      <c r="W111" s="28"/>
      <c r="X111" s="28"/>
      <c r="Y111" s="28"/>
      <c r="Z111" s="28"/>
      <c r="AA111" s="338"/>
      <c r="AB111" s="49"/>
    </row>
    <row r="112" spans="1:28" ht="18" hidden="1">
      <c r="A112" s="210"/>
      <c r="B112" s="834"/>
      <c r="C112" s="834"/>
      <c r="D112" s="834"/>
      <c r="E112" s="834"/>
      <c r="F112" s="834"/>
      <c r="G112" s="834"/>
      <c r="H112" s="834"/>
      <c r="I112" s="834"/>
      <c r="J112" s="834"/>
      <c r="K112" s="834"/>
      <c r="L112" s="834"/>
      <c r="M112" s="834"/>
      <c r="N112" s="834"/>
      <c r="O112" s="833"/>
      <c r="P112" s="833"/>
      <c r="Q112" s="342"/>
      <c r="R112" s="28"/>
      <c r="S112" s="28"/>
      <c r="T112" s="28"/>
      <c r="U112" s="28"/>
      <c r="V112" s="28"/>
      <c r="W112" s="28"/>
      <c r="X112" s="28"/>
      <c r="Y112" s="28"/>
      <c r="Z112" s="28"/>
      <c r="AA112" s="338"/>
      <c r="AB112" s="49"/>
    </row>
    <row r="113" spans="1:28" ht="18" hidden="1">
      <c r="A113" s="210"/>
      <c r="B113" s="834"/>
      <c r="C113" s="834"/>
      <c r="D113" s="834"/>
      <c r="E113" s="834"/>
      <c r="F113" s="834"/>
      <c r="G113" s="834"/>
      <c r="H113" s="834"/>
      <c r="I113" s="834"/>
      <c r="J113" s="834"/>
      <c r="K113" s="834"/>
      <c r="L113" s="834"/>
      <c r="M113" s="834"/>
      <c r="N113" s="834"/>
      <c r="O113" s="833"/>
      <c r="P113" s="833"/>
      <c r="Q113" s="342"/>
      <c r="R113" s="28"/>
      <c r="S113" s="28"/>
      <c r="T113" s="28"/>
      <c r="U113" s="28"/>
      <c r="V113" s="28"/>
      <c r="W113" s="28"/>
      <c r="X113" s="28"/>
      <c r="Y113" s="28"/>
      <c r="Z113" s="28"/>
      <c r="AA113" s="338"/>
      <c r="AB113" s="49"/>
    </row>
    <row r="114" spans="1:28" ht="18" hidden="1">
      <c r="A114" s="210"/>
      <c r="B114" s="834"/>
      <c r="C114" s="834"/>
      <c r="D114" s="834"/>
      <c r="E114" s="834"/>
      <c r="F114" s="834"/>
      <c r="G114" s="834"/>
      <c r="H114" s="834"/>
      <c r="I114" s="834"/>
      <c r="J114" s="834"/>
      <c r="K114" s="834"/>
      <c r="L114" s="834"/>
      <c r="M114" s="834"/>
      <c r="N114" s="834"/>
      <c r="O114" s="833"/>
      <c r="P114" s="833"/>
      <c r="Q114" s="342"/>
      <c r="R114" s="28"/>
      <c r="S114" s="28"/>
      <c r="T114" s="28"/>
      <c r="U114" s="28"/>
      <c r="V114" s="28"/>
      <c r="W114" s="28"/>
      <c r="X114" s="28"/>
      <c r="Y114" s="28"/>
      <c r="Z114" s="28"/>
      <c r="AA114" s="338"/>
      <c r="AB114" s="49"/>
    </row>
    <row r="115" spans="1:28" ht="18" hidden="1">
      <c r="A115" s="210"/>
      <c r="B115" s="834"/>
      <c r="C115" s="834"/>
      <c r="D115" s="834"/>
      <c r="E115" s="834"/>
      <c r="F115" s="834"/>
      <c r="G115" s="834"/>
      <c r="H115" s="834"/>
      <c r="I115" s="834"/>
      <c r="J115" s="834"/>
      <c r="K115" s="834"/>
      <c r="L115" s="834"/>
      <c r="M115" s="834"/>
      <c r="N115" s="834"/>
      <c r="O115" s="833"/>
      <c r="P115" s="833"/>
      <c r="Q115" s="342"/>
      <c r="R115" s="28"/>
      <c r="S115" s="28"/>
      <c r="T115" s="28"/>
      <c r="U115" s="28"/>
      <c r="V115" s="28"/>
      <c r="W115" s="28"/>
      <c r="X115" s="28"/>
      <c r="Y115" s="28"/>
      <c r="Z115" s="28"/>
      <c r="AA115" s="338"/>
      <c r="AB115" s="49"/>
    </row>
    <row r="116" spans="1:28" ht="18" hidden="1">
      <c r="A116" s="210"/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3"/>
      <c r="P116" s="833"/>
      <c r="Q116" s="342"/>
      <c r="R116" s="28"/>
      <c r="S116" s="28"/>
      <c r="T116" s="28"/>
      <c r="U116" s="28"/>
      <c r="V116" s="28"/>
      <c r="W116" s="28"/>
      <c r="X116" s="28"/>
      <c r="Y116" s="28"/>
      <c r="Z116" s="28"/>
      <c r="AA116" s="338"/>
      <c r="AB116" s="49"/>
    </row>
    <row r="117" spans="1:28" ht="18" hidden="1">
      <c r="A117" s="210"/>
      <c r="B117" s="834"/>
      <c r="C117" s="834"/>
      <c r="D117" s="834"/>
      <c r="E117" s="834"/>
      <c r="F117" s="834"/>
      <c r="G117" s="834"/>
      <c r="H117" s="834"/>
      <c r="I117" s="834"/>
      <c r="J117" s="834"/>
      <c r="K117" s="834"/>
      <c r="L117" s="834"/>
      <c r="M117" s="834"/>
      <c r="N117" s="834"/>
      <c r="O117" s="833"/>
      <c r="P117" s="833"/>
      <c r="Q117" s="342"/>
      <c r="R117" s="28"/>
      <c r="S117" s="28"/>
      <c r="T117" s="28"/>
      <c r="U117" s="28"/>
      <c r="V117" s="28"/>
      <c r="W117" s="28"/>
      <c r="X117" s="28"/>
      <c r="Y117" s="28"/>
      <c r="Z117" s="28"/>
      <c r="AA117" s="338"/>
      <c r="AB117" s="49"/>
    </row>
    <row r="118" spans="1:28" ht="18.75" hidden="1" thickBot="1">
      <c r="A118" s="978"/>
      <c r="B118" s="979"/>
      <c r="C118" s="979"/>
      <c r="D118" s="979"/>
      <c r="E118" s="979"/>
      <c r="F118" s="979"/>
      <c r="G118" s="979"/>
      <c r="H118" s="695"/>
      <c r="I118" s="980"/>
      <c r="J118" s="980"/>
      <c r="K118" s="980"/>
      <c r="L118" s="980"/>
      <c r="M118" s="980"/>
      <c r="N118" s="980"/>
      <c r="O118" s="980"/>
      <c r="P118" s="695"/>
      <c r="Q118" s="981"/>
      <c r="R118" s="979"/>
      <c r="S118" s="979"/>
      <c r="T118" s="979"/>
      <c r="U118" s="979"/>
      <c r="V118" s="979"/>
      <c r="W118" s="979"/>
      <c r="X118" s="979"/>
      <c r="Y118" s="980"/>
      <c r="Z118" s="980"/>
      <c r="AA118" s="980"/>
      <c r="AB118" s="982"/>
    </row>
    <row r="119" spans="1:28" ht="57.75" customHeight="1" hidden="1">
      <c r="A119" s="964"/>
      <c r="B119" s="968"/>
      <c r="C119" s="14"/>
      <c r="D119" s="14"/>
      <c r="E119" s="968">
        <f>SUM(E74+E80+E83+L79)</f>
        <v>143927072</v>
      </c>
      <c r="F119" s="14"/>
      <c r="G119" s="14"/>
      <c r="H119" s="14"/>
      <c r="I119" s="968"/>
      <c r="J119" s="968"/>
      <c r="K119" s="968"/>
      <c r="L119" s="969">
        <f>SUM(L91+E91)</f>
        <v>143927072</v>
      </c>
      <c r="M119" s="968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ht="12.75" hidden="1">
      <c r="A120" s="964"/>
      <c r="B120" s="968"/>
      <c r="C120" s="14"/>
      <c r="D120" s="14"/>
      <c r="E120" s="14"/>
      <c r="F120" s="14"/>
      <c r="G120" s="968"/>
      <c r="H120" s="14"/>
      <c r="I120" s="14"/>
      <c r="J120" s="968"/>
      <c r="L120" s="968"/>
      <c r="M120" s="968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ht="12.75">
      <c r="A121" s="964"/>
      <c r="B121" s="968"/>
      <c r="C121" s="968"/>
      <c r="D121" s="14"/>
      <c r="E121" s="968"/>
      <c r="F121" s="14"/>
      <c r="G121" s="968"/>
      <c r="H121" s="14"/>
      <c r="I121" s="14"/>
      <c r="J121" s="968"/>
      <c r="L121" s="968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ht="12.75">
      <c r="A122" s="964"/>
      <c r="B122" s="968"/>
      <c r="C122" s="14"/>
      <c r="D122" s="14"/>
      <c r="E122" s="968"/>
      <c r="F122" s="14"/>
      <c r="G122" s="968"/>
      <c r="H122" s="14"/>
      <c r="I122" s="14"/>
      <c r="J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 ht="12.75">
      <c r="A123" s="964"/>
      <c r="B123" s="14"/>
      <c r="C123" s="14"/>
      <c r="D123" s="14"/>
      <c r="E123" s="968"/>
      <c r="F123" s="14"/>
      <c r="G123" s="14"/>
      <c r="H123" s="14"/>
      <c r="I123" s="14"/>
      <c r="J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ht="12.75">
      <c r="E124" s="336"/>
    </row>
  </sheetData>
  <sheetProtection/>
  <mergeCells count="27">
    <mergeCell ref="A2:V2"/>
    <mergeCell ref="A3:V3"/>
    <mergeCell ref="A4:V4"/>
    <mergeCell ref="A7:A8"/>
    <mergeCell ref="B7:P7"/>
    <mergeCell ref="Q7:AB7"/>
    <mergeCell ref="B8:H8"/>
    <mergeCell ref="I8:P8"/>
    <mergeCell ref="Q8:U8"/>
    <mergeCell ref="A66:V66"/>
    <mergeCell ref="A68:A69"/>
    <mergeCell ref="B68:P68"/>
    <mergeCell ref="Q68:AB68"/>
    <mergeCell ref="B69:H69"/>
    <mergeCell ref="I69:P69"/>
    <mergeCell ref="Q69:U69"/>
    <mergeCell ref="V69:AB69"/>
    <mergeCell ref="Q1:Z1"/>
    <mergeCell ref="A93:V93"/>
    <mergeCell ref="A95:A96"/>
    <mergeCell ref="B95:P95"/>
    <mergeCell ref="Q95:AB95"/>
    <mergeCell ref="B96:H96"/>
    <mergeCell ref="I96:P96"/>
    <mergeCell ref="Q96:U96"/>
    <mergeCell ref="V96:AB96"/>
    <mergeCell ref="V8:AB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32" r:id="rId1"/>
  <headerFooter alignWithMargins="0">
    <oddFooter>&amp;R
</oddFooter>
  </headerFooter>
  <colBreaks count="1" manualBreakCount="1">
    <brk id="29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O18"/>
  <sheetViews>
    <sheetView view="pageBreakPreview" zoomScale="60" zoomScalePageLayoutView="0" workbookViewId="0" topLeftCell="B7">
      <selection activeCell="N5" sqref="N5"/>
    </sheetView>
  </sheetViews>
  <sheetFormatPr defaultColWidth="9.140625" defaultRowHeight="12.75"/>
  <cols>
    <col min="1" max="1" width="48.28125" style="23" customWidth="1"/>
    <col min="2" max="3" width="14.8515625" style="16" customWidth="1"/>
    <col min="4" max="4" width="20.57421875" style="16" customWidth="1"/>
    <col min="5" max="5" width="14.8515625" style="16" customWidth="1"/>
    <col min="6" max="7" width="14.8515625" style="16" hidden="1" customWidth="1"/>
    <col min="8" max="8" width="20.421875" style="16" hidden="1" customWidth="1"/>
    <col min="9" max="9" width="14.8515625" style="16" hidden="1" customWidth="1"/>
    <col min="10" max="10" width="11.8515625" style="16" customWidth="1"/>
    <col min="11" max="11" width="14.8515625" style="16" customWidth="1"/>
    <col min="12" max="12" width="20.7109375" style="16" customWidth="1"/>
    <col min="13" max="13" width="11.57421875" style="16" customWidth="1"/>
    <col min="14" max="15" width="15.28125" style="16" customWidth="1"/>
    <col min="16" max="16384" width="9.140625" style="16" customWidth="1"/>
  </cols>
  <sheetData>
    <row r="2" spans="4:14" ht="12.75">
      <c r="D2" s="2024"/>
      <c r="E2" s="2024"/>
      <c r="F2" s="328"/>
      <c r="G2" s="328"/>
      <c r="H2" s="328"/>
      <c r="I2" s="328"/>
      <c r="N2" s="16" t="s">
        <v>1023</v>
      </c>
    </row>
    <row r="4" spans="1:9" ht="19.5">
      <c r="A4" s="2025" t="s">
        <v>589</v>
      </c>
      <c r="B4" s="2025"/>
      <c r="C4" s="2025"/>
      <c r="D4" s="2025"/>
      <c r="E4" s="2025"/>
      <c r="F4" s="329"/>
      <c r="G4" s="329"/>
      <c r="H4" s="329"/>
      <c r="I4" s="329"/>
    </row>
    <row r="5" spans="1:9" ht="19.5">
      <c r="A5" s="329"/>
      <c r="B5" s="329"/>
      <c r="C5" s="329"/>
      <c r="D5" s="329"/>
      <c r="E5" s="329"/>
      <c r="F5" s="329"/>
      <c r="G5" s="329"/>
      <c r="H5" s="329"/>
      <c r="I5" s="329"/>
    </row>
    <row r="6" spans="2:9" ht="20.25" customHeight="1" thickBot="1">
      <c r="B6" s="2026" t="s">
        <v>4</v>
      </c>
      <c r="C6" s="2026"/>
      <c r="D6" s="2026"/>
      <c r="E6" s="2026"/>
      <c r="F6" s="2026"/>
      <c r="G6" s="2026"/>
      <c r="H6" s="2026"/>
      <c r="I6" s="2026"/>
    </row>
    <row r="7" spans="1:15" ht="36.75" customHeight="1">
      <c r="A7" s="2022" t="s">
        <v>3</v>
      </c>
      <c r="B7" s="2019" t="s">
        <v>590</v>
      </c>
      <c r="C7" s="2020"/>
      <c r="D7" s="2020"/>
      <c r="E7" s="2021"/>
      <c r="F7" s="2027" t="s">
        <v>591</v>
      </c>
      <c r="G7" s="2020"/>
      <c r="H7" s="2020"/>
      <c r="I7" s="2021"/>
      <c r="J7" s="2019" t="s">
        <v>592</v>
      </c>
      <c r="K7" s="2020"/>
      <c r="L7" s="2020"/>
      <c r="M7" s="2021"/>
      <c r="N7" s="2028" t="s">
        <v>592</v>
      </c>
      <c r="O7" s="2020"/>
    </row>
    <row r="8" spans="1:15" ht="41.25" customHeight="1" thickBot="1">
      <c r="A8" s="2023"/>
      <c r="B8" s="18" t="s">
        <v>28</v>
      </c>
      <c r="C8" s="18" t="s">
        <v>200</v>
      </c>
      <c r="D8" s="18" t="s">
        <v>201</v>
      </c>
      <c r="E8" s="19" t="s">
        <v>1</v>
      </c>
      <c r="F8" s="477" t="s">
        <v>28</v>
      </c>
      <c r="G8" s="18" t="s">
        <v>200</v>
      </c>
      <c r="H8" s="18" t="s">
        <v>201</v>
      </c>
      <c r="I8" s="19" t="s">
        <v>1</v>
      </c>
      <c r="J8" s="18" t="s">
        <v>28</v>
      </c>
      <c r="K8" s="18" t="s">
        <v>200</v>
      </c>
      <c r="L8" s="18" t="s">
        <v>201</v>
      </c>
      <c r="M8" s="19" t="s">
        <v>1</v>
      </c>
      <c r="N8" s="19" t="s">
        <v>228</v>
      </c>
      <c r="O8" s="19" t="s">
        <v>1</v>
      </c>
    </row>
    <row r="9" spans="1:15" ht="30" customHeight="1">
      <c r="A9" s="17" t="s">
        <v>209</v>
      </c>
      <c r="B9" s="105">
        <v>17</v>
      </c>
      <c r="C9" s="105">
        <v>0</v>
      </c>
      <c r="D9" s="106">
        <v>1</v>
      </c>
      <c r="E9" s="254">
        <f>SUM(B9:C9)</f>
        <v>17</v>
      </c>
      <c r="F9" s="105"/>
      <c r="G9" s="105"/>
      <c r="H9" s="106"/>
      <c r="I9" s="254"/>
      <c r="J9" s="105">
        <v>16</v>
      </c>
      <c r="K9" s="105">
        <v>0</v>
      </c>
      <c r="L9" s="106">
        <v>1</v>
      </c>
      <c r="M9" s="254">
        <f>SUM(J9:K9)</f>
        <v>16</v>
      </c>
      <c r="N9" s="1568">
        <v>16</v>
      </c>
      <c r="O9" s="1569">
        <f>+N9/M9</f>
        <v>1</v>
      </c>
    </row>
    <row r="10" spans="1:15" ht="30" customHeight="1">
      <c r="A10" s="17" t="s">
        <v>210</v>
      </c>
      <c r="B10" s="105">
        <f>2+1+0.25</f>
        <v>3.25</v>
      </c>
      <c r="C10" s="105">
        <f>0.5+2.75</f>
        <v>3.25</v>
      </c>
      <c r="D10" s="105">
        <v>0</v>
      </c>
      <c r="E10" s="1568">
        <f>SUM(B10:C10)</f>
        <v>6.5</v>
      </c>
      <c r="F10" s="105"/>
      <c r="G10" s="105"/>
      <c r="H10" s="105"/>
      <c r="I10" s="254"/>
      <c r="J10" s="105">
        <v>3.25</v>
      </c>
      <c r="K10" s="105">
        <v>3.25</v>
      </c>
      <c r="L10" s="105">
        <v>0</v>
      </c>
      <c r="M10" s="1568">
        <f>SUM(J10:K10)</f>
        <v>6.5</v>
      </c>
      <c r="N10" s="1568">
        <v>6.9</v>
      </c>
      <c r="O10" s="1569">
        <f>+N10/M10</f>
        <v>1.0615384615384615</v>
      </c>
    </row>
    <row r="11" spans="1:15" ht="30" customHeight="1" thickBot="1">
      <c r="A11" s="104" t="s">
        <v>211</v>
      </c>
      <c r="B11" s="107">
        <v>18</v>
      </c>
      <c r="C11" s="107">
        <v>8</v>
      </c>
      <c r="D11" s="107">
        <v>3</v>
      </c>
      <c r="E11" s="254">
        <f>SUM(B11:C11)</f>
        <v>26</v>
      </c>
      <c r="F11" s="107"/>
      <c r="G11" s="107"/>
      <c r="H11" s="107"/>
      <c r="I11" s="254"/>
      <c r="J11" s="107">
        <v>17</v>
      </c>
      <c r="K11" s="107">
        <v>8</v>
      </c>
      <c r="L11" s="107">
        <v>3</v>
      </c>
      <c r="M11" s="254">
        <f>SUM(J11:K11)</f>
        <v>25</v>
      </c>
      <c r="N11" s="1568">
        <v>25</v>
      </c>
      <c r="O11" s="1569">
        <f>+N11/M11</f>
        <v>1</v>
      </c>
    </row>
    <row r="12" spans="1:15" ht="54.75" customHeight="1" thickBot="1">
      <c r="A12" s="103" t="s">
        <v>24</v>
      </c>
      <c r="B12" s="215">
        <f aca="true" t="shared" si="0" ref="B12:I12">SUM(B9:B11)</f>
        <v>38.25</v>
      </c>
      <c r="C12" s="215">
        <f t="shared" si="0"/>
        <v>11.25</v>
      </c>
      <c r="D12" s="215">
        <f t="shared" si="0"/>
        <v>4</v>
      </c>
      <c r="E12" s="255">
        <f>SUM(E9:E11)</f>
        <v>49.5</v>
      </c>
      <c r="F12" s="215">
        <f t="shared" si="0"/>
        <v>0</v>
      </c>
      <c r="G12" s="215">
        <f t="shared" si="0"/>
        <v>0</v>
      </c>
      <c r="H12" s="215">
        <f t="shared" si="0"/>
        <v>0</v>
      </c>
      <c r="I12" s="255">
        <f t="shared" si="0"/>
        <v>0</v>
      </c>
      <c r="J12" s="215">
        <f>SUM(J9:J11)</f>
        <v>36.25</v>
      </c>
      <c r="K12" s="215">
        <f>SUM(K9:K11)</f>
        <v>11.25</v>
      </c>
      <c r="L12" s="215">
        <f>SUM(L9:L11)</f>
        <v>4</v>
      </c>
      <c r="M12" s="255">
        <f>SUM(M9:M11)</f>
        <v>47.5</v>
      </c>
      <c r="N12" s="1570">
        <f>SUM(N9:N11)</f>
        <v>47.9</v>
      </c>
      <c r="O12" s="1569">
        <f>+N12/M12</f>
        <v>1.0084210526315789</v>
      </c>
    </row>
    <row r="13" ht="13.5" thickBot="1">
      <c r="N13" s="1571"/>
    </row>
    <row r="14" spans="1:15" ht="30.75" customHeight="1" thickBot="1">
      <c r="A14" s="2013" t="s">
        <v>51</v>
      </c>
      <c r="B14" s="2014"/>
      <c r="C14" s="2014"/>
      <c r="D14" s="2015"/>
      <c r="E14" s="256">
        <v>10</v>
      </c>
      <c r="F14" s="2016"/>
      <c r="G14" s="2017"/>
      <c r="H14" s="2018"/>
      <c r="I14" s="256"/>
      <c r="J14" s="2016"/>
      <c r="K14" s="2017"/>
      <c r="L14" s="2018"/>
      <c r="M14" s="256">
        <v>6</v>
      </c>
      <c r="N14" s="1572">
        <v>6.28</v>
      </c>
      <c r="O14" s="1573">
        <f>+N14/M14</f>
        <v>1.0466666666666666</v>
      </c>
    </row>
    <row r="16" ht="12.75">
      <c r="A16" s="23" t="s">
        <v>105</v>
      </c>
    </row>
    <row r="18" spans="5:9" ht="12.75">
      <c r="E18" s="253"/>
      <c r="F18" s="253"/>
      <c r="G18" s="253"/>
      <c r="H18" s="253"/>
      <c r="I18" s="253"/>
    </row>
  </sheetData>
  <sheetProtection/>
  <mergeCells count="11">
    <mergeCell ref="N7:O7"/>
    <mergeCell ref="A14:D14"/>
    <mergeCell ref="F14:H14"/>
    <mergeCell ref="J7:M7"/>
    <mergeCell ref="J14:L14"/>
    <mergeCell ref="A7:A8"/>
    <mergeCell ref="D2:E2"/>
    <mergeCell ref="B7:E7"/>
    <mergeCell ref="A4:E4"/>
    <mergeCell ref="B6:I6"/>
    <mergeCell ref="F7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"/>
  <sheetViews>
    <sheetView view="pageBreakPreview" zoomScale="60" workbookViewId="0" topLeftCell="A1">
      <selection activeCell="E14" sqref="E14"/>
    </sheetView>
  </sheetViews>
  <sheetFormatPr defaultColWidth="9.140625" defaultRowHeight="12.75"/>
  <cols>
    <col min="1" max="1" width="41.00390625" style="1299" customWidth="1"/>
    <col min="2" max="2" width="15.57421875" style="1299" bestFit="1" customWidth="1"/>
    <col min="3" max="3" width="15.00390625" style="1299" bestFit="1" customWidth="1"/>
    <col min="4" max="4" width="18.00390625" style="1299" customWidth="1"/>
    <col min="5" max="5" width="12.8515625" style="1299" customWidth="1"/>
    <col min="6" max="16384" width="9.140625" style="1299" customWidth="1"/>
  </cols>
  <sheetData>
    <row r="1" spans="1:5" ht="12.75">
      <c r="A1" s="2029" t="s">
        <v>681</v>
      </c>
      <c r="B1" s="2029"/>
      <c r="C1" s="2029"/>
      <c r="D1" s="2029"/>
      <c r="E1" s="2029"/>
    </row>
    <row r="3" spans="1:5" ht="12.75">
      <c r="A3" s="2030" t="s">
        <v>682</v>
      </c>
      <c r="B3" s="2030"/>
      <c r="C3" s="2030"/>
      <c r="D3" s="2030"/>
      <c r="E3" s="2030"/>
    </row>
    <row r="5" spans="1:5" ht="12.75">
      <c r="A5" s="2031" t="s">
        <v>472</v>
      </c>
      <c r="B5" s="2031"/>
      <c r="C5" s="2031"/>
      <c r="D5" s="2031"/>
      <c r="E5" s="2031"/>
    </row>
    <row r="6" spans="1:5" ht="38.25">
      <c r="A6" s="1300" t="s">
        <v>3</v>
      </c>
      <c r="B6" s="1300" t="s">
        <v>210</v>
      </c>
      <c r="C6" s="1300" t="s">
        <v>683</v>
      </c>
      <c r="D6" s="1300" t="s">
        <v>211</v>
      </c>
      <c r="E6" s="1300" t="s">
        <v>1</v>
      </c>
    </row>
    <row r="7" spans="1:5" ht="12.75">
      <c r="A7" s="1301" t="s">
        <v>684</v>
      </c>
      <c r="B7" s="1302">
        <v>632622258</v>
      </c>
      <c r="C7" s="1303">
        <v>175538</v>
      </c>
      <c r="D7" s="1303">
        <v>31982630</v>
      </c>
      <c r="E7" s="1304">
        <f>SUM(B7:D7)</f>
        <v>664780426</v>
      </c>
    </row>
    <row r="8" spans="1:5" ht="12.75">
      <c r="A8" s="1301" t="s">
        <v>685</v>
      </c>
      <c r="B8" s="1302">
        <v>505193892</v>
      </c>
      <c r="C8" s="1303">
        <v>107002089</v>
      </c>
      <c r="D8" s="1303">
        <v>152203169</v>
      </c>
      <c r="E8" s="1304">
        <f aca="true" t="shared" si="0" ref="E8:E15">SUM(B8:D8)</f>
        <v>764399150</v>
      </c>
    </row>
    <row r="9" spans="1:5" ht="12.75">
      <c r="A9" s="1305" t="s">
        <v>686</v>
      </c>
      <c r="B9" s="1306">
        <f>+B7-B8</f>
        <v>127428366</v>
      </c>
      <c r="C9" s="1306">
        <f>+C7-C8</f>
        <v>-106826551</v>
      </c>
      <c r="D9" s="1306">
        <f>+D7-D8</f>
        <v>-120220539</v>
      </c>
      <c r="E9" s="1306">
        <f>+E7-E8</f>
        <v>-99618724</v>
      </c>
    </row>
    <row r="10" spans="1:5" ht="12.75">
      <c r="A10" s="1301" t="s">
        <v>687</v>
      </c>
      <c r="B10" s="1302">
        <v>313869065</v>
      </c>
      <c r="C10" s="1303">
        <v>108080717</v>
      </c>
      <c r="D10" s="1303">
        <v>123164350</v>
      </c>
      <c r="E10" s="1304">
        <f t="shared" si="0"/>
        <v>545114132</v>
      </c>
    </row>
    <row r="11" spans="1:5" ht="12.75">
      <c r="A11" s="1301" t="s">
        <v>688</v>
      </c>
      <c r="B11" s="1302">
        <v>235570778</v>
      </c>
      <c r="C11" s="1303">
        <v>0</v>
      </c>
      <c r="D11" s="1303">
        <v>0</v>
      </c>
      <c r="E11" s="1304">
        <f t="shared" si="0"/>
        <v>235570778</v>
      </c>
    </row>
    <row r="12" spans="1:5" ht="12.75">
      <c r="A12" s="1305" t="s">
        <v>689</v>
      </c>
      <c r="B12" s="1306">
        <f>+B10-B11</f>
        <v>78298287</v>
      </c>
      <c r="C12" s="1306">
        <f>+C10-C11</f>
        <v>108080717</v>
      </c>
      <c r="D12" s="1306">
        <f>+D10-D11</f>
        <v>123164350</v>
      </c>
      <c r="E12" s="1306">
        <f>+E10-E11</f>
        <v>309543354</v>
      </c>
    </row>
    <row r="13" spans="1:5" ht="12.75">
      <c r="A13" s="1305" t="s">
        <v>690</v>
      </c>
      <c r="B13" s="1306">
        <f>+B9+B12</f>
        <v>205726653</v>
      </c>
      <c r="C13" s="1306">
        <f>+C9+C12</f>
        <v>1254166</v>
      </c>
      <c r="D13" s="1306">
        <f>+D9+D12</f>
        <v>2943811</v>
      </c>
      <c r="E13" s="1306">
        <f>+E9+E12</f>
        <v>209924630</v>
      </c>
    </row>
    <row r="14" spans="1:5" ht="12.75">
      <c r="A14" s="1305" t="s">
        <v>691</v>
      </c>
      <c r="B14" s="1306">
        <f>+B13</f>
        <v>205726653</v>
      </c>
      <c r="C14" s="1306">
        <f>+C13</f>
        <v>1254166</v>
      </c>
      <c r="D14" s="1306">
        <f>+D13</f>
        <v>2943811</v>
      </c>
      <c r="E14" s="1306">
        <f>+E13</f>
        <v>209924630</v>
      </c>
    </row>
    <row r="15" spans="1:5" ht="25.5">
      <c r="A15" s="1305" t="s">
        <v>692</v>
      </c>
      <c r="B15" s="1307">
        <v>38490</v>
      </c>
      <c r="C15" s="1306">
        <v>0</v>
      </c>
      <c r="D15" s="1306"/>
      <c r="E15" s="1308">
        <f t="shared" si="0"/>
        <v>38490</v>
      </c>
    </row>
    <row r="16" spans="1:5" ht="12.75">
      <c r="A16" s="1305" t="s">
        <v>693</v>
      </c>
      <c r="B16" s="1306">
        <f>+B14-B15</f>
        <v>205688163</v>
      </c>
      <c r="C16" s="1306">
        <f>+C14-C15</f>
        <v>1254166</v>
      </c>
      <c r="D16" s="1306">
        <f>+D14-D15</f>
        <v>2943811</v>
      </c>
      <c r="E16" s="1306">
        <f>+E14-E15</f>
        <v>209886140</v>
      </c>
    </row>
  </sheetData>
  <sheetProtection/>
  <mergeCells count="3">
    <mergeCell ref="A1:E1"/>
    <mergeCell ref="A3:E3"/>
    <mergeCell ref="A5:E5"/>
  </mergeCells>
  <printOptions/>
  <pageMargins left="0.75" right="0.75" top="1" bottom="1" header="0.5" footer="0.5"/>
  <pageSetup horizontalDpi="300" verticalDpi="300" orientation="portrait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74"/>
  <sheetViews>
    <sheetView view="pageBreakPreview" zoomScale="60" zoomScalePageLayoutView="0" workbookViewId="0" topLeftCell="A44">
      <selection activeCell="A8" sqref="A8"/>
    </sheetView>
  </sheetViews>
  <sheetFormatPr defaultColWidth="9.140625" defaultRowHeight="12.75"/>
  <cols>
    <col min="1" max="1" width="41.00390625" style="1299" customWidth="1"/>
    <col min="2" max="2" width="15.421875" style="1299" bestFit="1" customWidth="1"/>
    <col min="3" max="3" width="16.00390625" style="1299" bestFit="1" customWidth="1"/>
    <col min="4" max="7" width="10.7109375" style="1299" bestFit="1" customWidth="1"/>
    <col min="8" max="9" width="12.8515625" style="1299" bestFit="1" customWidth="1"/>
    <col min="10" max="16384" width="9.140625" style="1299" customWidth="1"/>
  </cols>
  <sheetData>
    <row r="1" spans="1:9" ht="32.25" customHeight="1">
      <c r="A1" s="2029" t="s">
        <v>694</v>
      </c>
      <c r="B1" s="2029"/>
      <c r="C1" s="2029"/>
      <c r="D1" s="2029"/>
      <c r="E1" s="2029"/>
      <c r="F1" s="2029"/>
      <c r="G1" s="2029"/>
      <c r="H1" s="2029"/>
      <c r="I1" s="2029"/>
    </row>
    <row r="2" spans="1:9" ht="21.75" customHeight="1">
      <c r="A2" s="2030" t="s">
        <v>695</v>
      </c>
      <c r="B2" s="2030"/>
      <c r="C2" s="2030"/>
      <c r="D2" s="2030"/>
      <c r="E2" s="2030"/>
      <c r="F2" s="2030"/>
      <c r="G2" s="2030"/>
      <c r="H2" s="2030"/>
      <c r="I2" s="2030"/>
    </row>
    <row r="3" spans="1:9" ht="14.25" customHeight="1">
      <c r="A3" s="2030" t="s">
        <v>696</v>
      </c>
      <c r="B3" s="2030"/>
      <c r="C3" s="2030"/>
      <c r="D3" s="2030"/>
      <c r="E3" s="2030"/>
      <c r="F3" s="2030"/>
      <c r="G3" s="2030"/>
      <c r="H3" s="2030"/>
      <c r="I3" s="2030"/>
    </row>
    <row r="4" ht="33.75" customHeight="1" hidden="1"/>
    <row r="5" ht="8.25" customHeight="1"/>
    <row r="6" spans="1:9" ht="32.25" customHeight="1">
      <c r="A6" s="2031" t="s">
        <v>472</v>
      </c>
      <c r="B6" s="2031"/>
      <c r="C6" s="2031"/>
      <c r="D6" s="2031"/>
      <c r="E6" s="2031"/>
      <c r="F6" s="2031"/>
      <c r="G6" s="2031"/>
      <c r="H6" s="2031"/>
      <c r="I6" s="2031"/>
    </row>
    <row r="7" spans="1:9" ht="44.25" customHeight="1">
      <c r="A7" s="1309"/>
      <c r="B7" s="2032" t="s">
        <v>210</v>
      </c>
      <c r="C7" s="2032"/>
      <c r="D7" s="2032" t="s">
        <v>683</v>
      </c>
      <c r="E7" s="2032"/>
      <c r="F7" s="2032" t="s">
        <v>211</v>
      </c>
      <c r="G7" s="2032"/>
      <c r="H7" s="2032" t="s">
        <v>697</v>
      </c>
      <c r="I7" s="2032"/>
    </row>
    <row r="8" spans="1:9" ht="66" customHeight="1">
      <c r="A8" s="1310" t="s">
        <v>3</v>
      </c>
      <c r="B8" s="1310" t="s">
        <v>698</v>
      </c>
      <c r="C8" s="1310" t="s">
        <v>699</v>
      </c>
      <c r="D8" s="1310" t="s">
        <v>698</v>
      </c>
      <c r="E8" s="1310" t="s">
        <v>699</v>
      </c>
      <c r="F8" s="1310" t="s">
        <v>698</v>
      </c>
      <c r="G8" s="1310" t="s">
        <v>699</v>
      </c>
      <c r="H8" s="1310" t="s">
        <v>698</v>
      </c>
      <c r="I8" s="1310" t="s">
        <v>699</v>
      </c>
    </row>
    <row r="9" spans="1:9" ht="38.25" customHeight="1">
      <c r="A9" s="1311" t="s">
        <v>700</v>
      </c>
      <c r="B9" s="1312">
        <v>5687860</v>
      </c>
      <c r="C9" s="1312">
        <v>3083204</v>
      </c>
      <c r="D9" s="1313">
        <v>0</v>
      </c>
      <c r="E9" s="1313">
        <v>0</v>
      </c>
      <c r="F9" s="1313">
        <v>0</v>
      </c>
      <c r="G9" s="1313">
        <v>0</v>
      </c>
      <c r="H9" s="1313">
        <f aca="true" t="shared" si="0" ref="H9:I29">+B9+D9+F9</f>
        <v>5687860</v>
      </c>
      <c r="I9" s="1313">
        <f t="shared" si="0"/>
        <v>3083204</v>
      </c>
    </row>
    <row r="10" spans="1:9" ht="33.75" customHeight="1">
      <c r="A10" s="1314" t="s">
        <v>701</v>
      </c>
      <c r="B10" s="1315">
        <v>5687860</v>
      </c>
      <c r="C10" s="1315">
        <v>3083204</v>
      </c>
      <c r="D10" s="1316">
        <v>0</v>
      </c>
      <c r="E10" s="1316">
        <v>0</v>
      </c>
      <c r="F10" s="1316">
        <v>0</v>
      </c>
      <c r="G10" s="1316">
        <v>0</v>
      </c>
      <c r="H10" s="1316">
        <f t="shared" si="0"/>
        <v>5687860</v>
      </c>
      <c r="I10" s="1316">
        <f t="shared" si="0"/>
        <v>3083204</v>
      </c>
    </row>
    <row r="11" spans="1:9" ht="18.75" customHeight="1">
      <c r="A11" s="1311" t="s">
        <v>702</v>
      </c>
      <c r="B11" s="1312">
        <v>1092230634</v>
      </c>
      <c r="C11" s="1312">
        <v>1243382950</v>
      </c>
      <c r="D11" s="1313">
        <v>0</v>
      </c>
      <c r="E11" s="1313">
        <v>0</v>
      </c>
      <c r="F11" s="1313">
        <v>0</v>
      </c>
      <c r="G11" s="1313">
        <v>0</v>
      </c>
      <c r="H11" s="1313">
        <f t="shared" si="0"/>
        <v>1092230634</v>
      </c>
      <c r="I11" s="1313">
        <f t="shared" si="0"/>
        <v>1243382950</v>
      </c>
    </row>
    <row r="12" spans="1:9" ht="25.5">
      <c r="A12" s="1311" t="s">
        <v>703</v>
      </c>
      <c r="B12" s="1312">
        <v>25553126</v>
      </c>
      <c r="C12" s="1312">
        <v>22821495</v>
      </c>
      <c r="D12" s="1313">
        <v>409142</v>
      </c>
      <c r="E12" s="1313">
        <v>482977</v>
      </c>
      <c r="F12" s="1313">
        <v>1708539</v>
      </c>
      <c r="G12" s="1313">
        <v>1376785</v>
      </c>
      <c r="H12" s="1313">
        <f>+B12+D12+F12</f>
        <v>27670807</v>
      </c>
      <c r="I12" s="1313">
        <f t="shared" si="0"/>
        <v>24681257</v>
      </c>
    </row>
    <row r="13" spans="1:9" ht="12.75">
      <c r="A13" s="1311" t="s">
        <v>704</v>
      </c>
      <c r="B13" s="1312">
        <v>10371912</v>
      </c>
      <c r="C13" s="1312">
        <v>26726474</v>
      </c>
      <c r="D13" s="1313">
        <v>0</v>
      </c>
      <c r="E13" s="1313">
        <v>0</v>
      </c>
      <c r="F13" s="1313">
        <v>0</v>
      </c>
      <c r="G13" s="1313">
        <v>0</v>
      </c>
      <c r="H13" s="1313">
        <f t="shared" si="0"/>
        <v>10371912</v>
      </c>
      <c r="I13" s="1313">
        <f t="shared" si="0"/>
        <v>26726474</v>
      </c>
    </row>
    <row r="14" spans="1:9" ht="12.75">
      <c r="A14" s="1314" t="s">
        <v>705</v>
      </c>
      <c r="B14" s="1315">
        <v>1128155672</v>
      </c>
      <c r="C14" s="1315">
        <v>1292930919</v>
      </c>
      <c r="D14" s="1316">
        <v>409142</v>
      </c>
      <c r="E14" s="1316">
        <v>482977</v>
      </c>
      <c r="F14" s="1316">
        <v>1708539</v>
      </c>
      <c r="G14" s="1316">
        <v>1376785</v>
      </c>
      <c r="H14" s="1316">
        <f t="shared" si="0"/>
        <v>1130273353</v>
      </c>
      <c r="I14" s="1316">
        <f t="shared" si="0"/>
        <v>1294790681</v>
      </c>
    </row>
    <row r="15" spans="1:9" ht="25.5">
      <c r="A15" s="1311" t="s">
        <v>706</v>
      </c>
      <c r="B15" s="1312">
        <v>11580000</v>
      </c>
      <c r="C15" s="1312">
        <v>11580000</v>
      </c>
      <c r="D15" s="1313">
        <v>0</v>
      </c>
      <c r="E15" s="1313">
        <v>0</v>
      </c>
      <c r="F15" s="1313">
        <v>0</v>
      </c>
      <c r="G15" s="1313">
        <v>0</v>
      </c>
      <c r="H15" s="1313">
        <f t="shared" si="0"/>
        <v>11580000</v>
      </c>
      <c r="I15" s="1313">
        <f t="shared" si="0"/>
        <v>11580000</v>
      </c>
    </row>
    <row r="16" spans="1:9" ht="25.5">
      <c r="A16" s="1311" t="s">
        <v>707</v>
      </c>
      <c r="B16" s="1312">
        <v>11580000</v>
      </c>
      <c r="C16" s="1312">
        <v>11580000</v>
      </c>
      <c r="D16" s="1313">
        <v>0</v>
      </c>
      <c r="E16" s="1313">
        <v>0</v>
      </c>
      <c r="F16" s="1313">
        <v>0</v>
      </c>
      <c r="G16" s="1313">
        <v>0</v>
      </c>
      <c r="H16" s="1313">
        <f t="shared" si="0"/>
        <v>11580000</v>
      </c>
      <c r="I16" s="1313">
        <f t="shared" si="0"/>
        <v>11580000</v>
      </c>
    </row>
    <row r="17" spans="1:9" ht="25.5">
      <c r="A17" s="1314" t="s">
        <v>708</v>
      </c>
      <c r="B17" s="1315">
        <v>11580000</v>
      </c>
      <c r="C17" s="1315">
        <v>11580000</v>
      </c>
      <c r="D17" s="1316">
        <v>0</v>
      </c>
      <c r="E17" s="1316">
        <v>0</v>
      </c>
      <c r="F17" s="1316">
        <v>0</v>
      </c>
      <c r="G17" s="1316">
        <v>0</v>
      </c>
      <c r="H17" s="1316">
        <f t="shared" si="0"/>
        <v>11580000</v>
      </c>
      <c r="I17" s="1316">
        <f t="shared" si="0"/>
        <v>11580000</v>
      </c>
    </row>
    <row r="18" spans="1:9" ht="25.5">
      <c r="A18" s="1311" t="s">
        <v>709</v>
      </c>
      <c r="B18" s="1312">
        <v>369181548</v>
      </c>
      <c r="C18" s="1312">
        <v>375695904</v>
      </c>
      <c r="D18" s="1313">
        <v>0</v>
      </c>
      <c r="E18" s="1313">
        <v>0</v>
      </c>
      <c r="F18" s="1313">
        <v>0</v>
      </c>
      <c r="G18" s="1313">
        <v>0</v>
      </c>
      <c r="H18" s="1313">
        <f t="shared" si="0"/>
        <v>369181548</v>
      </c>
      <c r="I18" s="1313">
        <f t="shared" si="0"/>
        <v>375695904</v>
      </c>
    </row>
    <row r="19" spans="1:9" ht="12.75">
      <c r="A19" s="1311" t="s">
        <v>710</v>
      </c>
      <c r="B19" s="1312">
        <v>369181548</v>
      </c>
      <c r="C19" s="1312">
        <v>375695904</v>
      </c>
      <c r="D19" s="1313">
        <v>0</v>
      </c>
      <c r="E19" s="1313">
        <v>0</v>
      </c>
      <c r="F19" s="1313">
        <v>0</v>
      </c>
      <c r="G19" s="1313">
        <v>0</v>
      </c>
      <c r="H19" s="1313">
        <f t="shared" si="0"/>
        <v>369181548</v>
      </c>
      <c r="I19" s="1313">
        <f t="shared" si="0"/>
        <v>375695904</v>
      </c>
    </row>
    <row r="20" spans="1:9" ht="25.5">
      <c r="A20" s="1314" t="s">
        <v>711</v>
      </c>
      <c r="B20" s="1315">
        <v>369181548</v>
      </c>
      <c r="C20" s="1315">
        <v>375695904</v>
      </c>
      <c r="D20" s="1316">
        <v>0</v>
      </c>
      <c r="E20" s="1316">
        <v>0</v>
      </c>
      <c r="F20" s="1316">
        <v>0</v>
      </c>
      <c r="G20" s="1316">
        <v>0</v>
      </c>
      <c r="H20" s="1316">
        <f t="shared" si="0"/>
        <v>369181548</v>
      </c>
      <c r="I20" s="1316">
        <f t="shared" si="0"/>
        <v>375695904</v>
      </c>
    </row>
    <row r="21" spans="1:9" ht="38.25">
      <c r="A21" s="1314" t="s">
        <v>712</v>
      </c>
      <c r="B21" s="1315">
        <v>1514605080</v>
      </c>
      <c r="C21" s="1315">
        <v>1683290027</v>
      </c>
      <c r="D21" s="1316">
        <v>409142</v>
      </c>
      <c r="E21" s="1316">
        <v>482977</v>
      </c>
      <c r="F21" s="1316">
        <v>1708539</v>
      </c>
      <c r="G21" s="1316">
        <v>1376785</v>
      </c>
      <c r="H21" s="1316">
        <f t="shared" si="0"/>
        <v>1516722761</v>
      </c>
      <c r="I21" s="1316">
        <f t="shared" si="0"/>
        <v>1685149789</v>
      </c>
    </row>
    <row r="22" spans="1:9" ht="12.75">
      <c r="A22" s="1311" t="s">
        <v>713</v>
      </c>
      <c r="B22" s="1312">
        <v>0</v>
      </c>
      <c r="C22" s="1312">
        <v>0</v>
      </c>
      <c r="D22" s="1313">
        <v>0</v>
      </c>
      <c r="E22" s="1313">
        <v>0</v>
      </c>
      <c r="F22" s="1313">
        <v>291518</v>
      </c>
      <c r="G22" s="1313">
        <v>556707</v>
      </c>
      <c r="H22" s="1313">
        <f t="shared" si="0"/>
        <v>291518</v>
      </c>
      <c r="I22" s="1313">
        <f t="shared" si="0"/>
        <v>556707</v>
      </c>
    </row>
    <row r="23" spans="1:9" ht="12.75">
      <c r="A23" s="1314" t="s">
        <v>714</v>
      </c>
      <c r="B23" s="1315">
        <v>0</v>
      </c>
      <c r="C23" s="1315">
        <v>0</v>
      </c>
      <c r="D23" s="1316">
        <v>0</v>
      </c>
      <c r="E23" s="1316">
        <v>0</v>
      </c>
      <c r="F23" s="1316">
        <v>291518</v>
      </c>
      <c r="G23" s="1316">
        <v>556707</v>
      </c>
      <c r="H23" s="1316">
        <f t="shared" si="0"/>
        <v>291518</v>
      </c>
      <c r="I23" s="1316">
        <f t="shared" si="0"/>
        <v>556707</v>
      </c>
    </row>
    <row r="24" spans="1:9" ht="25.5">
      <c r="A24" s="1314" t="s">
        <v>715</v>
      </c>
      <c r="B24" s="1315">
        <v>0</v>
      </c>
      <c r="C24" s="1315">
        <v>0</v>
      </c>
      <c r="D24" s="1316">
        <v>0</v>
      </c>
      <c r="E24" s="1316">
        <v>0</v>
      </c>
      <c r="F24" s="1316">
        <v>291518</v>
      </c>
      <c r="G24" s="1316">
        <v>556707</v>
      </c>
      <c r="H24" s="1316">
        <f t="shared" si="0"/>
        <v>291518</v>
      </c>
      <c r="I24" s="1316">
        <f t="shared" si="0"/>
        <v>556707</v>
      </c>
    </row>
    <row r="25" spans="1:9" ht="12.75">
      <c r="A25" s="1311" t="s">
        <v>716</v>
      </c>
      <c r="B25" s="1312">
        <v>285118422</v>
      </c>
      <c r="C25" s="1312">
        <v>195004863</v>
      </c>
      <c r="D25" s="1313">
        <v>2081317</v>
      </c>
      <c r="E25" s="1313">
        <v>1254166</v>
      </c>
      <c r="F25" s="1313">
        <v>2616652</v>
      </c>
      <c r="G25" s="1313">
        <v>2943811</v>
      </c>
      <c r="H25" s="1313">
        <f t="shared" si="0"/>
        <v>289816391</v>
      </c>
      <c r="I25" s="1313">
        <f t="shared" si="0"/>
        <v>199202840</v>
      </c>
    </row>
    <row r="26" spans="1:9" ht="12.75">
      <c r="A26" s="1311" t="s">
        <v>717</v>
      </c>
      <c r="B26" s="1312">
        <v>15635794</v>
      </c>
      <c r="C26" s="1312">
        <v>10651682</v>
      </c>
      <c r="D26" s="1313">
        <v>0</v>
      </c>
      <c r="E26" s="1313">
        <v>0</v>
      </c>
      <c r="F26" s="1313">
        <v>0</v>
      </c>
      <c r="G26" s="1313">
        <v>0</v>
      </c>
      <c r="H26" s="1313">
        <f t="shared" si="0"/>
        <v>15635794</v>
      </c>
      <c r="I26" s="1313">
        <f t="shared" si="0"/>
        <v>10651682</v>
      </c>
    </row>
    <row r="27" spans="1:9" ht="12.75">
      <c r="A27" s="1314" t="s">
        <v>718</v>
      </c>
      <c r="B27" s="1315">
        <v>300754216</v>
      </c>
      <c r="C27" s="1315">
        <v>205656545</v>
      </c>
      <c r="D27" s="1316">
        <v>2081317</v>
      </c>
      <c r="E27" s="1316">
        <v>1254166</v>
      </c>
      <c r="F27" s="1316">
        <v>2616652</v>
      </c>
      <c r="G27" s="1316">
        <v>2943811</v>
      </c>
      <c r="H27" s="1316">
        <f t="shared" si="0"/>
        <v>305452185</v>
      </c>
      <c r="I27" s="1316">
        <f t="shared" si="0"/>
        <v>209854522</v>
      </c>
    </row>
    <row r="28" spans="1:9" ht="12.75">
      <c r="A28" s="1314" t="s">
        <v>719</v>
      </c>
      <c r="B28" s="1315">
        <v>300754216</v>
      </c>
      <c r="C28" s="1315">
        <v>205656545</v>
      </c>
      <c r="D28" s="1316">
        <v>2081317</v>
      </c>
      <c r="E28" s="1316">
        <v>1254166</v>
      </c>
      <c r="F28" s="1316">
        <v>2616652</v>
      </c>
      <c r="G28" s="1316">
        <v>2943811</v>
      </c>
      <c r="H28" s="1316">
        <f t="shared" si="0"/>
        <v>305452185</v>
      </c>
      <c r="I28" s="1316">
        <f t="shared" si="0"/>
        <v>209854522</v>
      </c>
    </row>
    <row r="29" spans="1:9" ht="38.25">
      <c r="A29" s="1311" t="s">
        <v>720</v>
      </c>
      <c r="B29" s="1312">
        <v>4593077</v>
      </c>
      <c r="C29" s="1312">
        <v>5310050</v>
      </c>
      <c r="D29" s="1313">
        <v>0</v>
      </c>
      <c r="E29" s="1313">
        <v>0</v>
      </c>
      <c r="F29" s="1313">
        <v>0</v>
      </c>
      <c r="G29" s="1313">
        <v>0</v>
      </c>
      <c r="H29" s="1313">
        <f t="shared" si="0"/>
        <v>4593077</v>
      </c>
      <c r="I29" s="1313">
        <f t="shared" si="0"/>
        <v>5310050</v>
      </c>
    </row>
    <row r="30" spans="1:9" ht="25.5">
      <c r="A30" s="1311" t="s">
        <v>721</v>
      </c>
      <c r="B30" s="1312">
        <v>568160</v>
      </c>
      <c r="C30" s="1312">
        <v>287686</v>
      </c>
      <c r="D30" s="1313">
        <v>0</v>
      </c>
      <c r="E30" s="1313">
        <v>0</v>
      </c>
      <c r="F30" s="1313">
        <v>0</v>
      </c>
      <c r="G30" s="1313">
        <v>0</v>
      </c>
      <c r="H30" s="1313">
        <f aca="true" t="shared" si="1" ref="H30:I47">+B30+D30+F30</f>
        <v>568160</v>
      </c>
      <c r="I30" s="1313">
        <f t="shared" si="1"/>
        <v>287686</v>
      </c>
    </row>
    <row r="31" spans="1:9" ht="25.5">
      <c r="A31" s="1311" t="s">
        <v>722</v>
      </c>
      <c r="B31" s="1312">
        <v>2511168</v>
      </c>
      <c r="C31" s="1312">
        <v>3601442</v>
      </c>
      <c r="D31" s="1313">
        <v>0</v>
      </c>
      <c r="E31" s="1313">
        <v>0</v>
      </c>
      <c r="F31" s="1313">
        <v>0</v>
      </c>
      <c r="G31" s="1313">
        <v>0</v>
      </c>
      <c r="H31" s="1313">
        <f t="shared" si="1"/>
        <v>2511168</v>
      </c>
      <c r="I31" s="1313">
        <f t="shared" si="1"/>
        <v>3601442</v>
      </c>
    </row>
    <row r="32" spans="1:9" ht="25.5">
      <c r="A32" s="1311" t="s">
        <v>723</v>
      </c>
      <c r="B32" s="1312">
        <v>1513749</v>
      </c>
      <c r="C32" s="1312">
        <v>1420922</v>
      </c>
      <c r="D32" s="1313">
        <v>0</v>
      </c>
      <c r="E32" s="1313">
        <v>0</v>
      </c>
      <c r="F32" s="1313">
        <v>0</v>
      </c>
      <c r="G32" s="1313">
        <v>0</v>
      </c>
      <c r="H32" s="1313">
        <f t="shared" si="1"/>
        <v>1513749</v>
      </c>
      <c r="I32" s="1313">
        <f t="shared" si="1"/>
        <v>1420922</v>
      </c>
    </row>
    <row r="33" spans="1:9" ht="38.25">
      <c r="A33" s="1311" t="s">
        <v>724</v>
      </c>
      <c r="B33" s="1312">
        <v>0</v>
      </c>
      <c r="C33" s="1312">
        <v>49900</v>
      </c>
      <c r="D33" s="1313">
        <v>0</v>
      </c>
      <c r="E33" s="1313">
        <v>0</v>
      </c>
      <c r="F33" s="1313">
        <v>75500</v>
      </c>
      <c r="G33" s="1313">
        <v>75500</v>
      </c>
      <c r="H33" s="1313">
        <f t="shared" si="1"/>
        <v>75500</v>
      </c>
      <c r="I33" s="1313">
        <f t="shared" si="1"/>
        <v>125400</v>
      </c>
    </row>
    <row r="34" spans="1:9" ht="51">
      <c r="A34" s="1311" t="s">
        <v>725</v>
      </c>
      <c r="B34" s="1312">
        <v>0</v>
      </c>
      <c r="C34" s="1312">
        <v>46072</v>
      </c>
      <c r="D34" s="1313">
        <v>0</v>
      </c>
      <c r="E34" s="1313">
        <v>0</v>
      </c>
      <c r="F34" s="1313">
        <v>10945</v>
      </c>
      <c r="G34" s="1313">
        <v>10945</v>
      </c>
      <c r="H34" s="1313">
        <f t="shared" si="1"/>
        <v>10945</v>
      </c>
      <c r="I34" s="1313">
        <f t="shared" si="1"/>
        <v>57017</v>
      </c>
    </row>
    <row r="35" spans="1:9" ht="25.5">
      <c r="A35" s="1311" t="s">
        <v>726</v>
      </c>
      <c r="B35" s="1312">
        <v>0</v>
      </c>
      <c r="C35" s="1312">
        <v>0</v>
      </c>
      <c r="D35" s="1313">
        <v>0</v>
      </c>
      <c r="E35" s="1313">
        <v>0</v>
      </c>
      <c r="F35" s="1313">
        <v>48505</v>
      </c>
      <c r="G35" s="1313">
        <v>48505</v>
      </c>
      <c r="H35" s="1313">
        <f t="shared" si="1"/>
        <v>48505</v>
      </c>
      <c r="I35" s="1313">
        <f t="shared" si="1"/>
        <v>48505</v>
      </c>
    </row>
    <row r="36" spans="1:9" ht="38.25">
      <c r="A36" s="1311" t="s">
        <v>727</v>
      </c>
      <c r="B36" s="1312">
        <v>0</v>
      </c>
      <c r="C36" s="1312">
        <v>3828</v>
      </c>
      <c r="D36" s="1313">
        <v>0</v>
      </c>
      <c r="E36" s="1313">
        <v>0</v>
      </c>
      <c r="F36" s="1313">
        <v>16050</v>
      </c>
      <c r="G36" s="1313">
        <v>16050</v>
      </c>
      <c r="H36" s="1313">
        <f t="shared" si="1"/>
        <v>16050</v>
      </c>
      <c r="I36" s="1313">
        <f t="shared" si="1"/>
        <v>19878</v>
      </c>
    </row>
    <row r="37" spans="1:9" ht="25.5">
      <c r="A37" s="1314" t="s">
        <v>728</v>
      </c>
      <c r="B37" s="1315">
        <v>4593077</v>
      </c>
      <c r="C37" s="1315">
        <v>5359950</v>
      </c>
      <c r="D37" s="1316">
        <v>0</v>
      </c>
      <c r="E37" s="1316">
        <v>0</v>
      </c>
      <c r="F37" s="1316">
        <v>75500</v>
      </c>
      <c r="G37" s="1316">
        <v>75500</v>
      </c>
      <c r="H37" s="1316">
        <f t="shared" si="1"/>
        <v>4668577</v>
      </c>
      <c r="I37" s="1316">
        <f t="shared" si="1"/>
        <v>5435450</v>
      </c>
    </row>
    <row r="38" spans="1:9" ht="12.75">
      <c r="A38" s="1311" t="s">
        <v>729</v>
      </c>
      <c r="B38" s="1312">
        <v>96521</v>
      </c>
      <c r="C38" s="1312">
        <v>53060</v>
      </c>
      <c r="D38" s="1313">
        <v>0</v>
      </c>
      <c r="E38" s="1313">
        <v>0</v>
      </c>
      <c r="F38" s="1313">
        <v>1888966</v>
      </c>
      <c r="G38" s="1313">
        <v>0</v>
      </c>
      <c r="H38" s="1313">
        <f t="shared" si="1"/>
        <v>1985487</v>
      </c>
      <c r="I38" s="1313">
        <f t="shared" si="1"/>
        <v>53060</v>
      </c>
    </row>
    <row r="39" spans="1:9" ht="12.75">
      <c r="A39" s="1311" t="s">
        <v>730</v>
      </c>
      <c r="B39" s="1312">
        <v>96521</v>
      </c>
      <c r="C39" s="1312">
        <v>53060</v>
      </c>
      <c r="D39" s="1313">
        <v>0</v>
      </c>
      <c r="E39" s="1313">
        <v>0</v>
      </c>
      <c r="F39" s="1313">
        <v>0</v>
      </c>
      <c r="G39" s="1313">
        <v>0</v>
      </c>
      <c r="H39" s="1313">
        <f t="shared" si="1"/>
        <v>96521</v>
      </c>
      <c r="I39" s="1313">
        <f t="shared" si="1"/>
        <v>53060</v>
      </c>
    </row>
    <row r="40" spans="1:9" ht="25.5">
      <c r="A40" s="1311" t="s">
        <v>731</v>
      </c>
      <c r="B40" s="1312">
        <v>0</v>
      </c>
      <c r="C40" s="1312">
        <v>0</v>
      </c>
      <c r="D40" s="1313">
        <v>0</v>
      </c>
      <c r="E40" s="1313">
        <v>0</v>
      </c>
      <c r="F40" s="1313">
        <v>1888966</v>
      </c>
      <c r="G40" s="1313">
        <v>0</v>
      </c>
      <c r="H40" s="1313">
        <f t="shared" si="1"/>
        <v>1888966</v>
      </c>
      <c r="I40" s="1313">
        <f t="shared" si="1"/>
        <v>0</v>
      </c>
    </row>
    <row r="41" spans="1:9" ht="12.75">
      <c r="A41" s="1311" t="s">
        <v>732</v>
      </c>
      <c r="B41" s="1312">
        <v>190000</v>
      </c>
      <c r="C41" s="1312">
        <v>190000</v>
      </c>
      <c r="D41" s="1313">
        <v>0</v>
      </c>
      <c r="E41" s="1313">
        <v>0</v>
      </c>
      <c r="F41" s="1313">
        <v>0</v>
      </c>
      <c r="G41" s="1313">
        <v>0</v>
      </c>
      <c r="H41" s="1313">
        <f t="shared" si="1"/>
        <v>190000</v>
      </c>
      <c r="I41" s="1313">
        <f t="shared" si="1"/>
        <v>190000</v>
      </c>
    </row>
    <row r="42" spans="1:9" ht="38.25">
      <c r="A42" s="1311" t="s">
        <v>733</v>
      </c>
      <c r="B42" s="1312">
        <v>66801174</v>
      </c>
      <c r="C42" s="1312">
        <v>66801174</v>
      </c>
      <c r="D42" s="1313">
        <v>0</v>
      </c>
      <c r="E42" s="1313">
        <v>0</v>
      </c>
      <c r="F42" s="1313">
        <v>0</v>
      </c>
      <c r="G42" s="1313">
        <v>0</v>
      </c>
      <c r="H42" s="1313">
        <f t="shared" si="1"/>
        <v>66801174</v>
      </c>
      <c r="I42" s="1313">
        <f t="shared" si="1"/>
        <v>66801174</v>
      </c>
    </row>
    <row r="43" spans="1:9" ht="25.5">
      <c r="A43" s="1314" t="s">
        <v>734</v>
      </c>
      <c r="B43" s="1315">
        <v>67087695</v>
      </c>
      <c r="C43" s="1315">
        <v>67044234</v>
      </c>
      <c r="D43" s="1316">
        <v>0</v>
      </c>
      <c r="E43" s="1316">
        <v>0</v>
      </c>
      <c r="F43" s="1316">
        <v>1888966</v>
      </c>
      <c r="G43" s="1316">
        <v>0</v>
      </c>
      <c r="H43" s="1316">
        <f t="shared" si="1"/>
        <v>68976661</v>
      </c>
      <c r="I43" s="1316">
        <f t="shared" si="1"/>
        <v>67044234</v>
      </c>
    </row>
    <row r="44" spans="1:9" ht="12.75">
      <c r="A44" s="1314" t="s">
        <v>735</v>
      </c>
      <c r="B44" s="1315">
        <v>71680772</v>
      </c>
      <c r="C44" s="1315">
        <v>72404184</v>
      </c>
      <c r="D44" s="1316">
        <v>0</v>
      </c>
      <c r="E44" s="1316">
        <v>0</v>
      </c>
      <c r="F44" s="1316">
        <v>1964466</v>
      </c>
      <c r="G44" s="1316">
        <v>75500</v>
      </c>
      <c r="H44" s="1316">
        <f t="shared" si="1"/>
        <v>73645238</v>
      </c>
      <c r="I44" s="1316">
        <f t="shared" si="1"/>
        <v>72479684</v>
      </c>
    </row>
    <row r="45" spans="1:9" ht="25.5">
      <c r="A45" s="1567" t="s">
        <v>1004</v>
      </c>
      <c r="B45" s="1315">
        <v>0</v>
      </c>
      <c r="C45" s="1312">
        <v>95000</v>
      </c>
      <c r="D45" s="1316">
        <v>0</v>
      </c>
      <c r="E45" s="1316">
        <v>0</v>
      </c>
      <c r="F45" s="1316">
        <v>0</v>
      </c>
      <c r="G45" s="1316">
        <v>0</v>
      </c>
      <c r="H45" s="1316">
        <f t="shared" si="1"/>
        <v>0</v>
      </c>
      <c r="I45" s="1313">
        <f t="shared" si="1"/>
        <v>95000</v>
      </c>
    </row>
    <row r="46" spans="1:9" s="1566" customFormat="1" ht="38.25">
      <c r="A46" s="1565" t="s">
        <v>1005</v>
      </c>
      <c r="B46" s="1315">
        <v>0</v>
      </c>
      <c r="C46" s="1315">
        <v>95000</v>
      </c>
      <c r="D46" s="1316">
        <v>0</v>
      </c>
      <c r="E46" s="1316">
        <v>0</v>
      </c>
      <c r="F46" s="1316">
        <v>0</v>
      </c>
      <c r="G46" s="1316">
        <v>0</v>
      </c>
      <c r="H46" s="1316">
        <f t="shared" si="1"/>
        <v>0</v>
      </c>
      <c r="I46" s="1316">
        <f t="shared" si="1"/>
        <v>95000</v>
      </c>
    </row>
    <row r="47" spans="1:9" ht="12.75">
      <c r="A47" s="1311" t="s">
        <v>736</v>
      </c>
      <c r="B47" s="1312">
        <v>0</v>
      </c>
      <c r="C47" s="1312">
        <v>-210000</v>
      </c>
      <c r="D47" s="1313">
        <v>0</v>
      </c>
      <c r="E47" s="1313">
        <v>0</v>
      </c>
      <c r="F47" s="1313">
        <v>265390</v>
      </c>
      <c r="G47" s="1313">
        <v>101864</v>
      </c>
      <c r="H47" s="1313">
        <f t="shared" si="1"/>
        <v>265390</v>
      </c>
      <c r="I47" s="1313">
        <f t="shared" si="1"/>
        <v>-108136</v>
      </c>
    </row>
    <row r="48" spans="1:9" ht="25.5">
      <c r="A48" s="1314" t="s">
        <v>737</v>
      </c>
      <c r="B48" s="1315">
        <v>0</v>
      </c>
      <c r="C48" s="1315">
        <v>-210000</v>
      </c>
      <c r="D48" s="1316">
        <v>0</v>
      </c>
      <c r="E48" s="1316">
        <v>0</v>
      </c>
      <c r="F48" s="1316">
        <v>265390</v>
      </c>
      <c r="G48" s="1316">
        <v>101864</v>
      </c>
      <c r="H48" s="1316">
        <f aca="true" t="shared" si="2" ref="H48:I68">+B48+D48+F48</f>
        <v>265390</v>
      </c>
      <c r="I48" s="1316">
        <f t="shared" si="2"/>
        <v>-108136</v>
      </c>
    </row>
    <row r="49" spans="1:9" ht="25.5">
      <c r="A49" s="1314" t="s">
        <v>738</v>
      </c>
      <c r="B49" s="1315">
        <v>0</v>
      </c>
      <c r="C49" s="1315">
        <v>-115000</v>
      </c>
      <c r="D49" s="1316">
        <v>0</v>
      </c>
      <c r="E49" s="1316">
        <v>0</v>
      </c>
      <c r="F49" s="1316">
        <v>265390</v>
      </c>
      <c r="G49" s="1316">
        <v>101864</v>
      </c>
      <c r="H49" s="1316">
        <f t="shared" si="2"/>
        <v>265390</v>
      </c>
      <c r="I49" s="1316">
        <f t="shared" si="2"/>
        <v>-13136</v>
      </c>
    </row>
    <row r="50" spans="1:9" ht="12.75">
      <c r="A50" s="1314" t="s">
        <v>739</v>
      </c>
      <c r="B50" s="1315">
        <v>1887040068</v>
      </c>
      <c r="C50" s="1315">
        <v>1961235756</v>
      </c>
      <c r="D50" s="1316">
        <v>2490459</v>
      </c>
      <c r="E50" s="1316">
        <v>1737143</v>
      </c>
      <c r="F50" s="1316">
        <v>6846565</v>
      </c>
      <c r="G50" s="1316">
        <v>5054667</v>
      </c>
      <c r="H50" s="1316">
        <f t="shared" si="2"/>
        <v>1896377092</v>
      </c>
      <c r="I50" s="1316">
        <f t="shared" si="2"/>
        <v>1968027566</v>
      </c>
    </row>
    <row r="51" spans="1:9" ht="12.75">
      <c r="A51" s="1311" t="s">
        <v>740</v>
      </c>
      <c r="B51" s="1312">
        <v>619978596</v>
      </c>
      <c r="C51" s="1312">
        <v>619978596</v>
      </c>
      <c r="D51" s="1313">
        <v>2204204</v>
      </c>
      <c r="E51" s="1313">
        <v>2204204</v>
      </c>
      <c r="F51" s="1313">
        <v>0</v>
      </c>
      <c r="G51" s="1313">
        <v>0</v>
      </c>
      <c r="H51" s="1313">
        <f t="shared" si="2"/>
        <v>622182800</v>
      </c>
      <c r="I51" s="1313">
        <f t="shared" si="2"/>
        <v>622182800</v>
      </c>
    </row>
    <row r="52" spans="1:9" ht="12.75">
      <c r="A52" s="1311" t="s">
        <v>741</v>
      </c>
      <c r="B52" s="1312">
        <v>210845796</v>
      </c>
      <c r="C52" s="1312">
        <v>230721363</v>
      </c>
      <c r="D52" s="1313">
        <v>0</v>
      </c>
      <c r="E52" s="1313">
        <v>0</v>
      </c>
      <c r="F52" s="1313">
        <v>0</v>
      </c>
      <c r="G52" s="1313">
        <v>0</v>
      </c>
      <c r="H52" s="1313">
        <f t="shared" si="2"/>
        <v>210845796</v>
      </c>
      <c r="I52" s="1313">
        <f t="shared" si="2"/>
        <v>230721363</v>
      </c>
    </row>
    <row r="53" spans="1:9" ht="25.5">
      <c r="A53" s="1311" t="s">
        <v>742</v>
      </c>
      <c r="B53" s="1312">
        <v>81973873</v>
      </c>
      <c r="C53" s="1312">
        <v>81973873</v>
      </c>
      <c r="D53" s="1313">
        <v>14503886</v>
      </c>
      <c r="E53" s="1313">
        <v>14503886</v>
      </c>
      <c r="F53" s="1313">
        <v>17445000</v>
      </c>
      <c r="G53" s="1313">
        <v>17445000</v>
      </c>
      <c r="H53" s="1313">
        <f t="shared" si="2"/>
        <v>113922759</v>
      </c>
      <c r="I53" s="1313">
        <f t="shared" si="2"/>
        <v>113922759</v>
      </c>
    </row>
    <row r="54" spans="1:9" ht="12.75">
      <c r="A54" s="1311" t="s">
        <v>743</v>
      </c>
      <c r="B54" s="1312">
        <v>805200874</v>
      </c>
      <c r="C54" s="1312">
        <v>836470798</v>
      </c>
      <c r="D54" s="1313">
        <v>-21840488</v>
      </c>
      <c r="E54" s="1313">
        <v>-21212789</v>
      </c>
      <c r="F54" s="1313">
        <v>-18279458</v>
      </c>
      <c r="G54" s="1313">
        <v>-18216116</v>
      </c>
      <c r="H54" s="1313">
        <f t="shared" si="2"/>
        <v>765080928</v>
      </c>
      <c r="I54" s="1313">
        <f t="shared" si="2"/>
        <v>797041893</v>
      </c>
    </row>
    <row r="55" spans="1:9" ht="12.75">
      <c r="A55" s="1311" t="s">
        <v>744</v>
      </c>
      <c r="B55" s="1312">
        <v>0</v>
      </c>
      <c r="C55" s="1312">
        <v>0</v>
      </c>
      <c r="D55" s="1313">
        <v>0</v>
      </c>
      <c r="E55" s="1313">
        <v>0</v>
      </c>
      <c r="F55" s="1313">
        <v>0</v>
      </c>
      <c r="G55" s="1313">
        <v>0</v>
      </c>
      <c r="H55" s="1313">
        <f t="shared" si="2"/>
        <v>0</v>
      </c>
      <c r="I55" s="1313">
        <f t="shared" si="2"/>
        <v>0</v>
      </c>
    </row>
    <row r="56" spans="1:9" ht="12.75">
      <c r="A56" s="1311" t="s">
        <v>745</v>
      </c>
      <c r="B56" s="1312">
        <v>31269924</v>
      </c>
      <c r="C56" s="1312">
        <v>8642652</v>
      </c>
      <c r="D56" s="1313">
        <v>627699</v>
      </c>
      <c r="E56" s="1313">
        <v>-1452213</v>
      </c>
      <c r="F56" s="1313">
        <v>63342</v>
      </c>
      <c r="G56" s="1313">
        <v>-2479866</v>
      </c>
      <c r="H56" s="1313">
        <f t="shared" si="2"/>
        <v>31960965</v>
      </c>
      <c r="I56" s="1313">
        <f t="shared" si="2"/>
        <v>4710573</v>
      </c>
    </row>
    <row r="57" spans="1:9" ht="12.75">
      <c r="A57" s="1314" t="s">
        <v>746</v>
      </c>
      <c r="B57" s="1315">
        <v>1749269063</v>
      </c>
      <c r="C57" s="1315">
        <v>1777787282</v>
      </c>
      <c r="D57" s="1316">
        <v>-4504699</v>
      </c>
      <c r="E57" s="1316">
        <v>-5956912</v>
      </c>
      <c r="F57" s="1316">
        <v>-771116</v>
      </c>
      <c r="G57" s="1316">
        <v>-3250982</v>
      </c>
      <c r="H57" s="1316">
        <f t="shared" si="2"/>
        <v>1743993248</v>
      </c>
      <c r="I57" s="1316">
        <f t="shared" si="2"/>
        <v>1768579388</v>
      </c>
    </row>
    <row r="58" spans="1:9" ht="25.5">
      <c r="A58" s="1311" t="s">
        <v>747</v>
      </c>
      <c r="B58" s="1312">
        <v>4230000</v>
      </c>
      <c r="C58" s="1312">
        <v>38145</v>
      </c>
      <c r="D58" s="1313">
        <v>0</v>
      </c>
      <c r="E58" s="1313"/>
      <c r="F58" s="1313">
        <v>0</v>
      </c>
      <c r="G58" s="1313">
        <v>0</v>
      </c>
      <c r="H58" s="1313">
        <f t="shared" si="2"/>
        <v>4230000</v>
      </c>
      <c r="I58" s="1313">
        <f t="shared" si="2"/>
        <v>38145</v>
      </c>
    </row>
    <row r="59" spans="1:9" ht="25.5">
      <c r="A59" s="1311" t="s">
        <v>748</v>
      </c>
      <c r="B59" s="1312">
        <v>0</v>
      </c>
      <c r="C59" s="1312"/>
      <c r="D59" s="1313">
        <v>0</v>
      </c>
      <c r="E59" s="1313">
        <v>0</v>
      </c>
      <c r="F59" s="1313">
        <v>0</v>
      </c>
      <c r="G59" s="1313">
        <v>0</v>
      </c>
      <c r="H59" s="1313">
        <f t="shared" si="2"/>
        <v>0</v>
      </c>
      <c r="I59" s="1313">
        <f t="shared" si="2"/>
        <v>0</v>
      </c>
    </row>
    <row r="60" spans="1:9" ht="25.5">
      <c r="A60" s="1314" t="s">
        <v>749</v>
      </c>
      <c r="B60" s="1315">
        <v>4230000</v>
      </c>
      <c r="C60" s="1315">
        <v>38145</v>
      </c>
      <c r="D60" s="1316">
        <v>0</v>
      </c>
      <c r="E60" s="1316">
        <v>0</v>
      </c>
      <c r="F60" s="1316">
        <v>0</v>
      </c>
      <c r="G60" s="1316">
        <v>0</v>
      </c>
      <c r="H60" s="1316">
        <f t="shared" si="2"/>
        <v>4230000</v>
      </c>
      <c r="I60" s="1316">
        <f t="shared" si="2"/>
        <v>38145</v>
      </c>
    </row>
    <row r="61" spans="1:9" ht="38.25">
      <c r="A61" s="1311" t="s">
        <v>750</v>
      </c>
      <c r="B61" s="1312">
        <v>10912646</v>
      </c>
      <c r="C61" s="1312">
        <v>13999235</v>
      </c>
      <c r="D61" s="1313">
        <v>0</v>
      </c>
      <c r="E61" s="1313">
        <v>0</v>
      </c>
      <c r="F61" s="1313">
        <v>0</v>
      </c>
      <c r="G61" s="1313">
        <v>0</v>
      </c>
      <c r="H61" s="1313">
        <f t="shared" si="2"/>
        <v>10912646</v>
      </c>
      <c r="I61" s="1313">
        <f t="shared" si="2"/>
        <v>13999235</v>
      </c>
    </row>
    <row r="62" spans="1:9" ht="51">
      <c r="A62" s="1311" t="s">
        <v>751</v>
      </c>
      <c r="B62" s="1312">
        <v>0</v>
      </c>
      <c r="C62" s="1312">
        <v>0</v>
      </c>
      <c r="D62" s="1313">
        <v>0</v>
      </c>
      <c r="E62" s="1313">
        <v>0</v>
      </c>
      <c r="F62" s="1313">
        <v>0</v>
      </c>
      <c r="G62" s="1313">
        <v>0</v>
      </c>
      <c r="H62" s="1313">
        <f t="shared" si="2"/>
        <v>0</v>
      </c>
      <c r="I62" s="1313">
        <f t="shared" si="2"/>
        <v>0</v>
      </c>
    </row>
    <row r="63" spans="1:9" ht="38.25">
      <c r="A63" s="1311" t="s">
        <v>752</v>
      </c>
      <c r="B63" s="1312">
        <v>10912646</v>
      </c>
      <c r="C63" s="1312">
        <v>13999235</v>
      </c>
      <c r="D63" s="1313">
        <v>0</v>
      </c>
      <c r="E63" s="1313">
        <v>0</v>
      </c>
      <c r="F63" s="1313">
        <v>0</v>
      </c>
      <c r="G63" s="1313">
        <v>0</v>
      </c>
      <c r="H63" s="1313">
        <f t="shared" si="2"/>
        <v>10912646</v>
      </c>
      <c r="I63" s="1313">
        <f t="shared" si="2"/>
        <v>13999235</v>
      </c>
    </row>
    <row r="64" spans="1:9" ht="25.5">
      <c r="A64" s="1314" t="s">
        <v>753</v>
      </c>
      <c r="B64" s="1315">
        <v>10912646</v>
      </c>
      <c r="C64" s="1315">
        <v>13999235</v>
      </c>
      <c r="D64" s="1316">
        <v>0</v>
      </c>
      <c r="E64" s="1316">
        <v>0</v>
      </c>
      <c r="F64" s="1316">
        <v>0</v>
      </c>
      <c r="G64" s="1316">
        <v>0</v>
      </c>
      <c r="H64" s="1316">
        <f t="shared" si="2"/>
        <v>10912646</v>
      </c>
      <c r="I64" s="1316">
        <f t="shared" si="2"/>
        <v>13999235</v>
      </c>
    </row>
    <row r="65" spans="1:9" ht="12.75">
      <c r="A65" s="1311" t="s">
        <v>754</v>
      </c>
      <c r="B65" s="1312">
        <v>468362</v>
      </c>
      <c r="C65" s="1312">
        <v>1881</v>
      </c>
      <c r="D65" s="1313">
        <v>0</v>
      </c>
      <c r="E65" s="1313">
        <v>0</v>
      </c>
      <c r="F65" s="1313">
        <v>0</v>
      </c>
      <c r="G65" s="1313">
        <v>0</v>
      </c>
      <c r="H65" s="1313">
        <f t="shared" si="2"/>
        <v>468362</v>
      </c>
      <c r="I65" s="1313">
        <f t="shared" si="2"/>
        <v>1881</v>
      </c>
    </row>
    <row r="66" spans="1:9" ht="25.5">
      <c r="A66" s="1311" t="s">
        <v>755</v>
      </c>
      <c r="B66" s="1312">
        <v>702545</v>
      </c>
      <c r="C66" s="1312">
        <v>107271</v>
      </c>
      <c r="D66" s="1313">
        <v>0</v>
      </c>
      <c r="E66" s="1313">
        <v>0</v>
      </c>
      <c r="F66" s="1313">
        <v>0</v>
      </c>
      <c r="G66" s="1313">
        <v>0</v>
      </c>
      <c r="H66" s="1313">
        <f t="shared" si="2"/>
        <v>702545</v>
      </c>
      <c r="I66" s="1313">
        <f t="shared" si="2"/>
        <v>107271</v>
      </c>
    </row>
    <row r="67" spans="1:9" ht="25.5">
      <c r="A67" s="1564" t="s">
        <v>1006</v>
      </c>
      <c r="B67" s="1312">
        <v>0</v>
      </c>
      <c r="C67" s="1312">
        <v>63800</v>
      </c>
      <c r="D67" s="1313"/>
      <c r="E67" s="1313"/>
      <c r="F67" s="1313"/>
      <c r="G67" s="1313"/>
      <c r="H67" s="1313"/>
      <c r="I67" s="1313"/>
    </row>
    <row r="68" spans="1:9" ht="25.5">
      <c r="A68" s="1314" t="s">
        <v>756</v>
      </c>
      <c r="B68" s="1315">
        <v>1170907</v>
      </c>
      <c r="C68" s="1315">
        <v>172952</v>
      </c>
      <c r="D68" s="1316">
        <v>0</v>
      </c>
      <c r="E68" s="1316">
        <v>0</v>
      </c>
      <c r="F68" s="1316">
        <v>0</v>
      </c>
      <c r="G68" s="1316">
        <v>0</v>
      </c>
      <c r="H68" s="1316">
        <f t="shared" si="2"/>
        <v>1170907</v>
      </c>
      <c r="I68" s="1316">
        <f t="shared" si="2"/>
        <v>172952</v>
      </c>
    </row>
    <row r="69" spans="1:9" ht="12.75">
      <c r="A69" s="1314" t="s">
        <v>757</v>
      </c>
      <c r="B69" s="1315">
        <v>16313553</v>
      </c>
      <c r="C69" s="1315">
        <v>14210332</v>
      </c>
      <c r="D69" s="1316">
        <v>0</v>
      </c>
      <c r="E69" s="1316">
        <v>0</v>
      </c>
      <c r="F69" s="1316">
        <v>0</v>
      </c>
      <c r="G69" s="1316">
        <v>0</v>
      </c>
      <c r="H69" s="1316">
        <f aca="true" t="shared" si="3" ref="H69:I74">+B69+D69+F69</f>
        <v>16313553</v>
      </c>
      <c r="I69" s="1316">
        <f t="shared" si="3"/>
        <v>14210332</v>
      </c>
    </row>
    <row r="70" spans="1:9" ht="25.5">
      <c r="A70" s="1311" t="s">
        <v>758</v>
      </c>
      <c r="B70" s="1312">
        <v>0</v>
      </c>
      <c r="C70" s="1312">
        <v>0</v>
      </c>
      <c r="D70" s="1313">
        <v>0</v>
      </c>
      <c r="E70" s="1313">
        <v>0</v>
      </c>
      <c r="F70" s="1313">
        <v>0</v>
      </c>
      <c r="G70" s="1313">
        <v>0</v>
      </c>
      <c r="H70" s="1313">
        <f t="shared" si="3"/>
        <v>0</v>
      </c>
      <c r="I70" s="1313">
        <f t="shared" si="3"/>
        <v>0</v>
      </c>
    </row>
    <row r="71" spans="1:9" ht="25.5">
      <c r="A71" s="1311" t="s">
        <v>759</v>
      </c>
      <c r="B71" s="1312">
        <v>4026981</v>
      </c>
      <c r="C71" s="1312">
        <v>3863086</v>
      </c>
      <c r="D71" s="1313">
        <v>6995158</v>
      </c>
      <c r="E71" s="1313">
        <v>7694055</v>
      </c>
      <c r="F71" s="1313">
        <v>7617681</v>
      </c>
      <c r="G71" s="1313">
        <v>8305649</v>
      </c>
      <c r="H71" s="1313">
        <f t="shared" si="3"/>
        <v>18639820</v>
      </c>
      <c r="I71" s="1313">
        <f t="shared" si="3"/>
        <v>19862790</v>
      </c>
    </row>
    <row r="72" spans="1:9" ht="12.75">
      <c r="A72" s="1311" t="s">
        <v>760</v>
      </c>
      <c r="B72" s="1312">
        <v>117430471</v>
      </c>
      <c r="C72" s="1312">
        <v>165375056</v>
      </c>
      <c r="D72" s="1313">
        <v>0</v>
      </c>
      <c r="E72" s="1313">
        <v>0</v>
      </c>
      <c r="F72" s="1313">
        <v>0</v>
      </c>
      <c r="G72" s="1313">
        <v>0</v>
      </c>
      <c r="H72" s="1313">
        <f t="shared" si="3"/>
        <v>117430471</v>
      </c>
      <c r="I72" s="1313">
        <f t="shared" si="3"/>
        <v>165375056</v>
      </c>
    </row>
    <row r="73" spans="1:9" ht="25.5">
      <c r="A73" s="1314" t="s">
        <v>761</v>
      </c>
      <c r="B73" s="1315">
        <v>121457452</v>
      </c>
      <c r="C73" s="1315">
        <v>169238142</v>
      </c>
      <c r="D73" s="1316">
        <v>6995158</v>
      </c>
      <c r="E73" s="1316">
        <v>7694055</v>
      </c>
      <c r="F73" s="1316">
        <v>7617681</v>
      </c>
      <c r="G73" s="1316">
        <v>8305649</v>
      </c>
      <c r="H73" s="1316">
        <f t="shared" si="3"/>
        <v>136070291</v>
      </c>
      <c r="I73" s="1316">
        <f t="shared" si="3"/>
        <v>185237846</v>
      </c>
    </row>
    <row r="74" spans="1:9" ht="12.75">
      <c r="A74" s="1314" t="s">
        <v>762</v>
      </c>
      <c r="B74" s="1315">
        <v>1887040068</v>
      </c>
      <c r="C74" s="1315">
        <v>1961235756</v>
      </c>
      <c r="D74" s="1316">
        <v>2490459</v>
      </c>
      <c r="E74" s="1316">
        <v>1737143</v>
      </c>
      <c r="F74" s="1316">
        <v>6846565</v>
      </c>
      <c r="G74" s="1316">
        <v>5054667</v>
      </c>
      <c r="H74" s="1316">
        <f t="shared" si="3"/>
        <v>1896377092</v>
      </c>
      <c r="I74" s="1316">
        <f t="shared" si="3"/>
        <v>1968027566</v>
      </c>
    </row>
  </sheetData>
  <sheetProtection/>
  <mergeCells count="8">
    <mergeCell ref="A1:I1"/>
    <mergeCell ref="A2:I2"/>
    <mergeCell ref="A3:I3"/>
    <mergeCell ref="A6:I6"/>
    <mergeCell ref="B7:C7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scale="64" r:id="rId1"/>
  <headerFooter alignWithMargins="0">
    <oddHeader>&amp;L&amp;C&amp;RÉrték típus: Forint</oddHeader>
    <oddFooter>&amp;LAdatellenőrző kód: -42-4173-2e6a23-35-7e2e-75742b35a-6b3d-4-79-6f-37&amp;C&amp;R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V92"/>
  <sheetViews>
    <sheetView view="pageBreakPreview" zoomScale="60" zoomScalePageLayoutView="0" workbookViewId="0" topLeftCell="A22">
      <selection activeCell="C91" sqref="C91"/>
    </sheetView>
  </sheetViews>
  <sheetFormatPr defaultColWidth="60.421875" defaultRowHeight="12.75"/>
  <cols>
    <col min="1" max="1" width="60.421875" style="1340" customWidth="1"/>
    <col min="2" max="2" width="5.57421875" style="1340" customWidth="1"/>
    <col min="3" max="3" width="13.140625" style="1340" customWidth="1"/>
    <col min="4" max="4" width="14.8515625" style="1340" customWidth="1"/>
    <col min="5" max="5" width="12.57421875" style="1334" customWidth="1"/>
    <col min="6" max="6" width="22.8515625" style="1334" customWidth="1"/>
    <col min="7" max="255" width="10.7109375" style="1334" customWidth="1"/>
    <col min="256" max="16384" width="60.421875" style="1334" customWidth="1"/>
  </cols>
  <sheetData>
    <row r="1" spans="1:256" ht="48.75" customHeight="1">
      <c r="A1" s="2039" t="s">
        <v>763</v>
      </c>
      <c r="B1" s="2039"/>
      <c r="C1" s="2039"/>
      <c r="D1" s="2039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1317"/>
      <c r="R1" s="1317"/>
      <c r="S1" s="1317"/>
      <c r="T1" s="1317"/>
      <c r="U1" s="1317"/>
      <c r="V1" s="1317"/>
      <c r="W1" s="1317"/>
      <c r="X1" s="1317"/>
      <c r="Y1" s="1317"/>
      <c r="Z1" s="1317"/>
      <c r="AA1" s="1317"/>
      <c r="AB1" s="1317"/>
      <c r="AC1" s="1317"/>
      <c r="AD1" s="1317"/>
      <c r="AE1" s="1317"/>
      <c r="AF1" s="1317"/>
      <c r="AG1" s="1317"/>
      <c r="AH1" s="1317"/>
      <c r="AI1" s="1317"/>
      <c r="AJ1" s="1317"/>
      <c r="AK1" s="1317"/>
      <c r="AL1" s="1317"/>
      <c r="AM1" s="1317"/>
      <c r="AN1" s="1317"/>
      <c r="AO1" s="1317"/>
      <c r="AP1" s="1317"/>
      <c r="AQ1" s="1317"/>
      <c r="AR1" s="1317"/>
      <c r="AS1" s="1317"/>
      <c r="AT1" s="1317"/>
      <c r="AU1" s="1317"/>
      <c r="AV1" s="1317"/>
      <c r="AW1" s="1317"/>
      <c r="AX1" s="1317"/>
      <c r="AY1" s="1317"/>
      <c r="AZ1" s="1317"/>
      <c r="BA1" s="1317"/>
      <c r="BB1" s="1317"/>
      <c r="BC1" s="1317"/>
      <c r="BD1" s="1317"/>
      <c r="BE1" s="1317"/>
      <c r="BF1" s="1317"/>
      <c r="BG1" s="1317"/>
      <c r="BH1" s="1317"/>
      <c r="BI1" s="1317"/>
      <c r="BJ1" s="1317"/>
      <c r="BK1" s="1317"/>
      <c r="BL1" s="1317"/>
      <c r="BM1" s="1317"/>
      <c r="BN1" s="1317"/>
      <c r="BO1" s="1317"/>
      <c r="BP1" s="1317"/>
      <c r="BQ1" s="1317"/>
      <c r="BR1" s="1317"/>
      <c r="BS1" s="1317"/>
      <c r="BT1" s="1317"/>
      <c r="BU1" s="1317"/>
      <c r="BV1" s="1317"/>
      <c r="BW1" s="1317"/>
      <c r="BX1" s="1317"/>
      <c r="BY1" s="1317"/>
      <c r="BZ1" s="1317"/>
      <c r="CA1" s="1317"/>
      <c r="CB1" s="1317"/>
      <c r="CC1" s="1317"/>
      <c r="CD1" s="1317"/>
      <c r="CE1" s="1317"/>
      <c r="CF1" s="1317"/>
      <c r="CG1" s="1317"/>
      <c r="CH1" s="1317"/>
      <c r="CI1" s="1317"/>
      <c r="CJ1" s="1317"/>
      <c r="CK1" s="1317"/>
      <c r="CL1" s="1317"/>
      <c r="CM1" s="1317"/>
      <c r="CN1" s="1317"/>
      <c r="CO1" s="1317"/>
      <c r="CP1" s="1317"/>
      <c r="CQ1" s="1317"/>
      <c r="CR1" s="1317"/>
      <c r="CS1" s="1317"/>
      <c r="CT1" s="1317"/>
      <c r="CU1" s="1317"/>
      <c r="CV1" s="1317"/>
      <c r="CW1" s="1317"/>
      <c r="CX1" s="1317"/>
      <c r="CY1" s="1317"/>
      <c r="CZ1" s="1317"/>
      <c r="DA1" s="1317"/>
      <c r="DB1" s="1317"/>
      <c r="DC1" s="1317"/>
      <c r="DD1" s="1317"/>
      <c r="DE1" s="1317"/>
      <c r="DF1" s="1317"/>
      <c r="DG1" s="1317"/>
      <c r="DH1" s="1317"/>
      <c r="DI1" s="1317"/>
      <c r="DJ1" s="1317"/>
      <c r="DK1" s="1317"/>
      <c r="DL1" s="1317"/>
      <c r="DM1" s="1317"/>
      <c r="DN1" s="1317"/>
      <c r="DO1" s="1317"/>
      <c r="DP1" s="1317"/>
      <c r="DQ1" s="1317"/>
      <c r="DR1" s="1317"/>
      <c r="DS1" s="1317"/>
      <c r="DT1" s="1317"/>
      <c r="DU1" s="1317"/>
      <c r="DV1" s="1317"/>
      <c r="DW1" s="1317"/>
      <c r="DX1" s="1317"/>
      <c r="DY1" s="1317"/>
      <c r="DZ1" s="1317"/>
      <c r="EA1" s="1317"/>
      <c r="EB1" s="1317"/>
      <c r="EC1" s="1317"/>
      <c r="ED1" s="1317"/>
      <c r="EE1" s="1317"/>
      <c r="EF1" s="1317"/>
      <c r="EG1" s="1317"/>
      <c r="EH1" s="1317"/>
      <c r="EI1" s="1317"/>
      <c r="EJ1" s="1317"/>
      <c r="EK1" s="1317"/>
      <c r="EL1" s="1317"/>
      <c r="EM1" s="1317"/>
      <c r="EN1" s="1317"/>
      <c r="EO1" s="1317"/>
      <c r="EP1" s="1317"/>
      <c r="EQ1" s="1317"/>
      <c r="ER1" s="1317"/>
      <c r="ES1" s="1317"/>
      <c r="ET1" s="1317"/>
      <c r="EU1" s="1317"/>
      <c r="EV1" s="1317"/>
      <c r="EW1" s="1317"/>
      <c r="EX1" s="1317"/>
      <c r="EY1" s="1317"/>
      <c r="EZ1" s="1317"/>
      <c r="FA1" s="1317"/>
      <c r="FB1" s="1317"/>
      <c r="FC1" s="1317"/>
      <c r="FD1" s="1317"/>
      <c r="FE1" s="1317"/>
      <c r="FF1" s="1317"/>
      <c r="FG1" s="1317"/>
      <c r="FH1" s="1317"/>
      <c r="FI1" s="1317"/>
      <c r="FJ1" s="1317"/>
      <c r="FK1" s="1317"/>
      <c r="FL1" s="1317"/>
      <c r="FM1" s="1317"/>
      <c r="FN1" s="1317"/>
      <c r="FO1" s="1317"/>
      <c r="FP1" s="1317"/>
      <c r="FQ1" s="1317"/>
      <c r="FR1" s="1317"/>
      <c r="FS1" s="1317"/>
      <c r="FT1" s="1317"/>
      <c r="FU1" s="1317"/>
      <c r="FV1" s="1317"/>
      <c r="FW1" s="1317"/>
      <c r="FX1" s="1317"/>
      <c r="FY1" s="1317"/>
      <c r="FZ1" s="1317"/>
      <c r="GA1" s="1317"/>
      <c r="GB1" s="1317"/>
      <c r="GC1" s="1317"/>
      <c r="GD1" s="1317"/>
      <c r="GE1" s="1317"/>
      <c r="GF1" s="1317"/>
      <c r="GG1" s="1317"/>
      <c r="GH1" s="1317"/>
      <c r="GI1" s="1317"/>
      <c r="GJ1" s="1317"/>
      <c r="GK1" s="1317"/>
      <c r="GL1" s="1317"/>
      <c r="GM1" s="1317"/>
      <c r="GN1" s="1317"/>
      <c r="GO1" s="1317"/>
      <c r="GP1" s="1317"/>
      <c r="GQ1" s="1317"/>
      <c r="GR1" s="1317"/>
      <c r="GS1" s="1317"/>
      <c r="GT1" s="1317"/>
      <c r="GU1" s="1317"/>
      <c r="GV1" s="1317"/>
      <c r="GW1" s="1317"/>
      <c r="GX1" s="1317"/>
      <c r="GY1" s="1317"/>
      <c r="GZ1" s="1317"/>
      <c r="HA1" s="1317"/>
      <c r="HB1" s="1317"/>
      <c r="HC1" s="1317"/>
      <c r="HD1" s="1317"/>
      <c r="HE1" s="1317"/>
      <c r="HF1" s="1317"/>
      <c r="HG1" s="1317"/>
      <c r="HH1" s="1317"/>
      <c r="HI1" s="1317"/>
      <c r="HJ1" s="1317"/>
      <c r="HK1" s="1317"/>
      <c r="HL1" s="1317"/>
      <c r="HM1" s="1317"/>
      <c r="HN1" s="1317"/>
      <c r="HO1" s="1317"/>
      <c r="HP1" s="1317"/>
      <c r="HQ1" s="1317"/>
      <c r="HR1" s="1317"/>
      <c r="HS1" s="1317"/>
      <c r="HT1" s="1317"/>
      <c r="HU1" s="1317"/>
      <c r="HV1" s="1317"/>
      <c r="HW1" s="1317"/>
      <c r="HX1" s="1317"/>
      <c r="HY1" s="1317"/>
      <c r="HZ1" s="1317"/>
      <c r="IA1" s="1317"/>
      <c r="IB1" s="1317"/>
      <c r="IC1" s="1317"/>
      <c r="ID1" s="1317"/>
      <c r="IE1" s="1317"/>
      <c r="IF1" s="1317"/>
      <c r="IG1" s="1317"/>
      <c r="IH1" s="1317"/>
      <c r="II1" s="1317"/>
      <c r="IJ1" s="1317"/>
      <c r="IK1" s="1317"/>
      <c r="IL1" s="1317"/>
      <c r="IM1" s="1317"/>
      <c r="IN1" s="1317"/>
      <c r="IO1" s="1317"/>
      <c r="IP1" s="1317"/>
      <c r="IQ1" s="1317"/>
      <c r="IR1" s="1317"/>
      <c r="IS1" s="1317"/>
      <c r="IT1" s="1317"/>
      <c r="IU1" s="1317"/>
      <c r="IV1" s="1317"/>
    </row>
    <row r="2" spans="1:256" ht="16.5" thickBot="1">
      <c r="A2" s="1318" t="s">
        <v>695</v>
      </c>
      <c r="B2" s="1317"/>
      <c r="C2" s="2040" t="s">
        <v>764</v>
      </c>
      <c r="D2" s="2040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317"/>
      <c r="Y2" s="1317"/>
      <c r="Z2" s="1317"/>
      <c r="AA2" s="1317"/>
      <c r="AB2" s="1317"/>
      <c r="AC2" s="1317"/>
      <c r="AD2" s="1317"/>
      <c r="AE2" s="1317"/>
      <c r="AF2" s="1317"/>
      <c r="AG2" s="1317"/>
      <c r="AH2" s="1317"/>
      <c r="AI2" s="1317"/>
      <c r="AJ2" s="1317"/>
      <c r="AK2" s="1317"/>
      <c r="AL2" s="1317"/>
      <c r="AM2" s="1317"/>
      <c r="AN2" s="1317"/>
      <c r="AO2" s="1317"/>
      <c r="AP2" s="1317"/>
      <c r="AQ2" s="1317"/>
      <c r="AR2" s="1317"/>
      <c r="AS2" s="1317"/>
      <c r="AT2" s="1317"/>
      <c r="AU2" s="1317"/>
      <c r="AV2" s="1317"/>
      <c r="AW2" s="1317"/>
      <c r="AX2" s="1317"/>
      <c r="AY2" s="1317"/>
      <c r="AZ2" s="1317"/>
      <c r="BA2" s="1317"/>
      <c r="BB2" s="1317"/>
      <c r="BC2" s="1317"/>
      <c r="BD2" s="1317"/>
      <c r="BE2" s="1317"/>
      <c r="BF2" s="1317"/>
      <c r="BG2" s="1317"/>
      <c r="BH2" s="1317"/>
      <c r="BI2" s="1317"/>
      <c r="BJ2" s="1317"/>
      <c r="BK2" s="1317"/>
      <c r="BL2" s="1317"/>
      <c r="BM2" s="1317"/>
      <c r="BN2" s="1317"/>
      <c r="BO2" s="1317"/>
      <c r="BP2" s="1317"/>
      <c r="BQ2" s="1317"/>
      <c r="BR2" s="1317"/>
      <c r="BS2" s="1317"/>
      <c r="BT2" s="1317"/>
      <c r="BU2" s="1317"/>
      <c r="BV2" s="1317"/>
      <c r="BW2" s="1317"/>
      <c r="BX2" s="1317"/>
      <c r="BY2" s="1317"/>
      <c r="BZ2" s="1317"/>
      <c r="CA2" s="1317"/>
      <c r="CB2" s="1317"/>
      <c r="CC2" s="1317"/>
      <c r="CD2" s="1317"/>
      <c r="CE2" s="1317"/>
      <c r="CF2" s="1317"/>
      <c r="CG2" s="1317"/>
      <c r="CH2" s="1317"/>
      <c r="CI2" s="1317"/>
      <c r="CJ2" s="1317"/>
      <c r="CK2" s="1317"/>
      <c r="CL2" s="1317"/>
      <c r="CM2" s="1317"/>
      <c r="CN2" s="1317"/>
      <c r="CO2" s="1317"/>
      <c r="CP2" s="1317"/>
      <c r="CQ2" s="1317"/>
      <c r="CR2" s="1317"/>
      <c r="CS2" s="1317"/>
      <c r="CT2" s="1317"/>
      <c r="CU2" s="1317"/>
      <c r="CV2" s="1317"/>
      <c r="CW2" s="1317"/>
      <c r="CX2" s="1317"/>
      <c r="CY2" s="1317"/>
      <c r="CZ2" s="1317"/>
      <c r="DA2" s="1317"/>
      <c r="DB2" s="1317"/>
      <c r="DC2" s="1317"/>
      <c r="DD2" s="1317"/>
      <c r="DE2" s="1317"/>
      <c r="DF2" s="1317"/>
      <c r="DG2" s="1317"/>
      <c r="DH2" s="1317"/>
      <c r="DI2" s="1317"/>
      <c r="DJ2" s="1317"/>
      <c r="DK2" s="1317"/>
      <c r="DL2" s="1317"/>
      <c r="DM2" s="1317"/>
      <c r="DN2" s="1317"/>
      <c r="DO2" s="1317"/>
      <c r="DP2" s="1317"/>
      <c r="DQ2" s="1317"/>
      <c r="DR2" s="1317"/>
      <c r="DS2" s="1317"/>
      <c r="DT2" s="1317"/>
      <c r="DU2" s="1317"/>
      <c r="DV2" s="1317"/>
      <c r="DW2" s="1317"/>
      <c r="DX2" s="1317"/>
      <c r="DY2" s="1317"/>
      <c r="DZ2" s="1317"/>
      <c r="EA2" s="1317"/>
      <c r="EB2" s="1317"/>
      <c r="EC2" s="1317"/>
      <c r="ED2" s="1317"/>
      <c r="EE2" s="1317"/>
      <c r="EF2" s="1317"/>
      <c r="EG2" s="1317"/>
      <c r="EH2" s="1317"/>
      <c r="EI2" s="1317"/>
      <c r="EJ2" s="1317"/>
      <c r="EK2" s="1317"/>
      <c r="EL2" s="1317"/>
      <c r="EM2" s="1317"/>
      <c r="EN2" s="1317"/>
      <c r="EO2" s="1317"/>
      <c r="EP2" s="1317"/>
      <c r="EQ2" s="1317"/>
      <c r="ER2" s="1317"/>
      <c r="ES2" s="1317"/>
      <c r="ET2" s="1317"/>
      <c r="EU2" s="1317"/>
      <c r="EV2" s="1317"/>
      <c r="EW2" s="1317"/>
      <c r="EX2" s="1317"/>
      <c r="EY2" s="1317"/>
      <c r="EZ2" s="1317"/>
      <c r="FA2" s="1317"/>
      <c r="FB2" s="1317"/>
      <c r="FC2" s="1317"/>
      <c r="FD2" s="1317"/>
      <c r="FE2" s="1317"/>
      <c r="FF2" s="1317"/>
      <c r="FG2" s="1317"/>
      <c r="FH2" s="1317"/>
      <c r="FI2" s="1317"/>
      <c r="FJ2" s="1317"/>
      <c r="FK2" s="1317"/>
      <c r="FL2" s="1317"/>
      <c r="FM2" s="1317"/>
      <c r="FN2" s="1317"/>
      <c r="FO2" s="1317"/>
      <c r="FP2" s="1317"/>
      <c r="FQ2" s="1317"/>
      <c r="FR2" s="1317"/>
      <c r="FS2" s="1317"/>
      <c r="FT2" s="1317"/>
      <c r="FU2" s="1317"/>
      <c r="FV2" s="1317"/>
      <c r="FW2" s="1317"/>
      <c r="FX2" s="1317"/>
      <c r="FY2" s="1317"/>
      <c r="FZ2" s="1317"/>
      <c r="GA2" s="1317"/>
      <c r="GB2" s="1317"/>
      <c r="GC2" s="1317"/>
      <c r="GD2" s="1317"/>
      <c r="GE2" s="1317"/>
      <c r="GF2" s="1317"/>
      <c r="GG2" s="1317"/>
      <c r="GH2" s="1317"/>
      <c r="GI2" s="1317"/>
      <c r="GJ2" s="1317"/>
      <c r="GK2" s="1317"/>
      <c r="GL2" s="1317"/>
      <c r="GM2" s="1317"/>
      <c r="GN2" s="1317"/>
      <c r="GO2" s="1317"/>
      <c r="GP2" s="1317"/>
      <c r="GQ2" s="1317"/>
      <c r="GR2" s="1317"/>
      <c r="GS2" s="1317"/>
      <c r="GT2" s="1317"/>
      <c r="GU2" s="1317"/>
      <c r="GV2" s="1317"/>
      <c r="GW2" s="1317"/>
      <c r="GX2" s="1317"/>
      <c r="GY2" s="1317"/>
      <c r="GZ2" s="1317"/>
      <c r="HA2" s="1317"/>
      <c r="HB2" s="1317"/>
      <c r="HC2" s="1317"/>
      <c r="HD2" s="1317"/>
      <c r="HE2" s="1317"/>
      <c r="HF2" s="1317"/>
      <c r="HG2" s="1317"/>
      <c r="HH2" s="1317"/>
      <c r="HI2" s="1317"/>
      <c r="HJ2" s="1317"/>
      <c r="HK2" s="1317"/>
      <c r="HL2" s="1317"/>
      <c r="HM2" s="1317"/>
      <c r="HN2" s="1317"/>
      <c r="HO2" s="1317"/>
      <c r="HP2" s="1317"/>
      <c r="HQ2" s="1317"/>
      <c r="HR2" s="1317"/>
      <c r="HS2" s="1317"/>
      <c r="HT2" s="1317"/>
      <c r="HU2" s="1317"/>
      <c r="HV2" s="1317"/>
      <c r="HW2" s="1317"/>
      <c r="HX2" s="1317"/>
      <c r="HY2" s="1317"/>
      <c r="HZ2" s="1317"/>
      <c r="IA2" s="1317"/>
      <c r="IB2" s="1317"/>
      <c r="IC2" s="1317"/>
      <c r="ID2" s="1317"/>
      <c r="IE2" s="1317"/>
      <c r="IF2" s="1317"/>
      <c r="IG2" s="1317"/>
      <c r="IH2" s="1317"/>
      <c r="II2" s="1317"/>
      <c r="IJ2" s="1317"/>
      <c r="IK2" s="1317"/>
      <c r="IL2" s="1317"/>
      <c r="IM2" s="1317"/>
      <c r="IN2" s="1317"/>
      <c r="IO2" s="1317"/>
      <c r="IP2" s="1317"/>
      <c r="IQ2" s="1317"/>
      <c r="IR2" s="1317"/>
      <c r="IS2" s="1317"/>
      <c r="IT2" s="1317"/>
      <c r="IU2" s="1317"/>
      <c r="IV2" s="1317"/>
    </row>
    <row r="3" spans="1:256" ht="16.5" thickBot="1">
      <c r="A3" s="2041" t="s">
        <v>765</v>
      </c>
      <c r="B3" s="2042" t="s">
        <v>5</v>
      </c>
      <c r="C3" s="2043" t="s">
        <v>766</v>
      </c>
      <c r="D3" s="2043" t="s">
        <v>767</v>
      </c>
      <c r="E3" s="1317"/>
      <c r="F3" s="1317"/>
      <c r="G3" s="1317"/>
      <c r="H3" s="1317"/>
      <c r="I3" s="1317"/>
      <c r="J3" s="1317"/>
      <c r="K3" s="1317"/>
      <c r="L3" s="1317"/>
      <c r="M3" s="1317"/>
      <c r="N3" s="1317"/>
      <c r="O3" s="1317"/>
      <c r="P3" s="1317"/>
      <c r="Q3" s="1317"/>
      <c r="R3" s="1317"/>
      <c r="S3" s="1317"/>
      <c r="T3" s="1317"/>
      <c r="U3" s="1317"/>
      <c r="V3" s="1317"/>
      <c r="W3" s="1317"/>
      <c r="X3" s="1317"/>
      <c r="Y3" s="1317"/>
      <c r="Z3" s="1317"/>
      <c r="AA3" s="1317"/>
      <c r="AB3" s="1317"/>
      <c r="AC3" s="1317"/>
      <c r="AD3" s="1317"/>
      <c r="AE3" s="1317"/>
      <c r="AF3" s="1317"/>
      <c r="AG3" s="1317"/>
      <c r="AH3" s="1317"/>
      <c r="AI3" s="1317"/>
      <c r="AJ3" s="1317"/>
      <c r="AK3" s="1317"/>
      <c r="AL3" s="1317"/>
      <c r="AM3" s="1317"/>
      <c r="AN3" s="1317"/>
      <c r="AO3" s="1317"/>
      <c r="AP3" s="1317"/>
      <c r="AQ3" s="1317"/>
      <c r="AR3" s="1317"/>
      <c r="AS3" s="1317"/>
      <c r="AT3" s="1317"/>
      <c r="AU3" s="1317"/>
      <c r="AV3" s="1317"/>
      <c r="AW3" s="1317"/>
      <c r="AX3" s="1317"/>
      <c r="AY3" s="1317"/>
      <c r="AZ3" s="1317"/>
      <c r="BA3" s="1317"/>
      <c r="BB3" s="1317"/>
      <c r="BC3" s="1317"/>
      <c r="BD3" s="1317"/>
      <c r="BE3" s="1317"/>
      <c r="BF3" s="1317"/>
      <c r="BG3" s="1317"/>
      <c r="BH3" s="1317"/>
      <c r="BI3" s="1317"/>
      <c r="BJ3" s="1317"/>
      <c r="BK3" s="1317"/>
      <c r="BL3" s="1317"/>
      <c r="BM3" s="1317"/>
      <c r="BN3" s="1317"/>
      <c r="BO3" s="1317"/>
      <c r="BP3" s="1317"/>
      <c r="BQ3" s="1317"/>
      <c r="BR3" s="1317"/>
      <c r="BS3" s="1317"/>
      <c r="BT3" s="1317"/>
      <c r="BU3" s="1317"/>
      <c r="BV3" s="1317"/>
      <c r="BW3" s="1317"/>
      <c r="BX3" s="1317"/>
      <c r="BY3" s="1317"/>
      <c r="BZ3" s="1317"/>
      <c r="CA3" s="1317"/>
      <c r="CB3" s="1317"/>
      <c r="CC3" s="1317"/>
      <c r="CD3" s="1317"/>
      <c r="CE3" s="1317"/>
      <c r="CF3" s="1317"/>
      <c r="CG3" s="1317"/>
      <c r="CH3" s="1317"/>
      <c r="CI3" s="1317"/>
      <c r="CJ3" s="1317"/>
      <c r="CK3" s="1317"/>
      <c r="CL3" s="1317"/>
      <c r="CM3" s="1317"/>
      <c r="CN3" s="1317"/>
      <c r="CO3" s="1317"/>
      <c r="CP3" s="1317"/>
      <c r="CQ3" s="1317"/>
      <c r="CR3" s="1317"/>
      <c r="CS3" s="1317"/>
      <c r="CT3" s="1317"/>
      <c r="CU3" s="1317"/>
      <c r="CV3" s="1317"/>
      <c r="CW3" s="1317"/>
      <c r="CX3" s="1317"/>
      <c r="CY3" s="1317"/>
      <c r="CZ3" s="1317"/>
      <c r="DA3" s="1317"/>
      <c r="DB3" s="1317"/>
      <c r="DC3" s="1317"/>
      <c r="DD3" s="1317"/>
      <c r="DE3" s="1317"/>
      <c r="DF3" s="1317"/>
      <c r="DG3" s="1317"/>
      <c r="DH3" s="1317"/>
      <c r="DI3" s="1317"/>
      <c r="DJ3" s="1317"/>
      <c r="DK3" s="1317"/>
      <c r="DL3" s="1317"/>
      <c r="DM3" s="1317"/>
      <c r="DN3" s="1317"/>
      <c r="DO3" s="1317"/>
      <c r="DP3" s="1317"/>
      <c r="DQ3" s="1317"/>
      <c r="DR3" s="1317"/>
      <c r="DS3" s="1317"/>
      <c r="DT3" s="1317"/>
      <c r="DU3" s="1317"/>
      <c r="DV3" s="1317"/>
      <c r="DW3" s="1317"/>
      <c r="DX3" s="1317"/>
      <c r="DY3" s="1317"/>
      <c r="DZ3" s="1317"/>
      <c r="EA3" s="1317"/>
      <c r="EB3" s="1317"/>
      <c r="EC3" s="1317"/>
      <c r="ED3" s="1317"/>
      <c r="EE3" s="1317"/>
      <c r="EF3" s="1317"/>
      <c r="EG3" s="1317"/>
      <c r="EH3" s="1317"/>
      <c r="EI3" s="1317"/>
      <c r="EJ3" s="1317"/>
      <c r="EK3" s="1317"/>
      <c r="EL3" s="1317"/>
      <c r="EM3" s="1317"/>
      <c r="EN3" s="1317"/>
      <c r="EO3" s="1317"/>
      <c r="EP3" s="1317"/>
      <c r="EQ3" s="1317"/>
      <c r="ER3" s="1317"/>
      <c r="ES3" s="1317"/>
      <c r="ET3" s="1317"/>
      <c r="EU3" s="1317"/>
      <c r="EV3" s="1317"/>
      <c r="EW3" s="1317"/>
      <c r="EX3" s="1317"/>
      <c r="EY3" s="1317"/>
      <c r="EZ3" s="1317"/>
      <c r="FA3" s="1317"/>
      <c r="FB3" s="1317"/>
      <c r="FC3" s="1317"/>
      <c r="FD3" s="1317"/>
      <c r="FE3" s="1317"/>
      <c r="FF3" s="1317"/>
      <c r="FG3" s="1317"/>
      <c r="FH3" s="1317"/>
      <c r="FI3" s="1317"/>
      <c r="FJ3" s="1317"/>
      <c r="FK3" s="1317"/>
      <c r="FL3" s="1317"/>
      <c r="FM3" s="1317"/>
      <c r="FN3" s="1317"/>
      <c r="FO3" s="1317"/>
      <c r="FP3" s="1317"/>
      <c r="FQ3" s="1317"/>
      <c r="FR3" s="1317"/>
      <c r="FS3" s="1317"/>
      <c r="FT3" s="1317"/>
      <c r="FU3" s="1317"/>
      <c r="FV3" s="1317"/>
      <c r="FW3" s="1317"/>
      <c r="FX3" s="1317"/>
      <c r="FY3" s="1317"/>
      <c r="FZ3" s="1317"/>
      <c r="GA3" s="1317"/>
      <c r="GB3" s="1317"/>
      <c r="GC3" s="1317"/>
      <c r="GD3" s="1317"/>
      <c r="GE3" s="1317"/>
      <c r="GF3" s="1317"/>
      <c r="GG3" s="1317"/>
      <c r="GH3" s="1317"/>
      <c r="GI3" s="1317"/>
      <c r="GJ3" s="1317"/>
      <c r="GK3" s="1317"/>
      <c r="GL3" s="1317"/>
      <c r="GM3" s="1317"/>
      <c r="GN3" s="1317"/>
      <c r="GO3" s="1317"/>
      <c r="GP3" s="1317"/>
      <c r="GQ3" s="1317"/>
      <c r="GR3" s="1317"/>
      <c r="GS3" s="1317"/>
      <c r="GT3" s="1317"/>
      <c r="GU3" s="1317"/>
      <c r="GV3" s="1317"/>
      <c r="GW3" s="1317"/>
      <c r="GX3" s="1317"/>
      <c r="GY3" s="1317"/>
      <c r="GZ3" s="1317"/>
      <c r="HA3" s="1317"/>
      <c r="HB3" s="1317"/>
      <c r="HC3" s="1317"/>
      <c r="HD3" s="1317"/>
      <c r="HE3" s="1317"/>
      <c r="HF3" s="1317"/>
      <c r="HG3" s="1317"/>
      <c r="HH3" s="1317"/>
      <c r="HI3" s="1317"/>
      <c r="HJ3" s="1317"/>
      <c r="HK3" s="1317"/>
      <c r="HL3" s="1317"/>
      <c r="HM3" s="1317"/>
      <c r="HN3" s="1317"/>
      <c r="HO3" s="1317"/>
      <c r="HP3" s="1317"/>
      <c r="HQ3" s="1317"/>
      <c r="HR3" s="1317"/>
      <c r="HS3" s="1317"/>
      <c r="HT3" s="1317"/>
      <c r="HU3" s="1317"/>
      <c r="HV3" s="1317"/>
      <c r="HW3" s="1317"/>
      <c r="HX3" s="1317"/>
      <c r="HY3" s="1317"/>
      <c r="HZ3" s="1317"/>
      <c r="IA3" s="1317"/>
      <c r="IB3" s="1317"/>
      <c r="IC3" s="1317"/>
      <c r="ID3" s="1317"/>
      <c r="IE3" s="1317"/>
      <c r="IF3" s="1317"/>
      <c r="IG3" s="1317"/>
      <c r="IH3" s="1317"/>
      <c r="II3" s="1317"/>
      <c r="IJ3" s="1317"/>
      <c r="IK3" s="1317"/>
      <c r="IL3" s="1317"/>
      <c r="IM3" s="1317"/>
      <c r="IN3" s="1317"/>
      <c r="IO3" s="1317"/>
      <c r="IP3" s="1317"/>
      <c r="IQ3" s="1317"/>
      <c r="IR3" s="1317"/>
      <c r="IS3" s="1317"/>
      <c r="IT3" s="1317"/>
      <c r="IU3" s="1317"/>
      <c r="IV3" s="1317"/>
    </row>
    <row r="4" spans="1:256" ht="16.5" thickBot="1">
      <c r="A4" s="2041"/>
      <c r="B4" s="2042"/>
      <c r="C4" s="2043"/>
      <c r="D4" s="2043"/>
      <c r="E4" s="1317"/>
      <c r="F4" s="1317"/>
      <c r="G4" s="1317"/>
      <c r="H4" s="1317"/>
      <c r="I4" s="1317"/>
      <c r="J4" s="1317"/>
      <c r="K4" s="1317"/>
      <c r="L4" s="1317"/>
      <c r="M4" s="1317"/>
      <c r="N4" s="1317"/>
      <c r="O4" s="1317"/>
      <c r="P4" s="1317"/>
      <c r="Q4" s="1317"/>
      <c r="R4" s="1317"/>
      <c r="S4" s="1317"/>
      <c r="T4" s="1317"/>
      <c r="U4" s="1317"/>
      <c r="V4" s="1317"/>
      <c r="W4" s="1317"/>
      <c r="X4" s="1317"/>
      <c r="Y4" s="1317"/>
      <c r="Z4" s="1317"/>
      <c r="AA4" s="1317"/>
      <c r="AB4" s="1317"/>
      <c r="AC4" s="1317"/>
      <c r="AD4" s="1317"/>
      <c r="AE4" s="1317"/>
      <c r="AF4" s="1317"/>
      <c r="AG4" s="1317"/>
      <c r="AH4" s="1317"/>
      <c r="AI4" s="1317"/>
      <c r="AJ4" s="1317"/>
      <c r="AK4" s="1317"/>
      <c r="AL4" s="1317"/>
      <c r="AM4" s="1317"/>
      <c r="AN4" s="1317"/>
      <c r="AO4" s="1317"/>
      <c r="AP4" s="1317"/>
      <c r="AQ4" s="1317"/>
      <c r="AR4" s="1317"/>
      <c r="AS4" s="1317"/>
      <c r="AT4" s="1317"/>
      <c r="AU4" s="1317"/>
      <c r="AV4" s="1317"/>
      <c r="AW4" s="1317"/>
      <c r="AX4" s="1317"/>
      <c r="AY4" s="1317"/>
      <c r="AZ4" s="1317"/>
      <c r="BA4" s="1317"/>
      <c r="BB4" s="1317"/>
      <c r="BC4" s="1317"/>
      <c r="BD4" s="1317"/>
      <c r="BE4" s="1317"/>
      <c r="BF4" s="1317"/>
      <c r="BG4" s="1317"/>
      <c r="BH4" s="1317"/>
      <c r="BI4" s="1317"/>
      <c r="BJ4" s="1317"/>
      <c r="BK4" s="1317"/>
      <c r="BL4" s="1317"/>
      <c r="BM4" s="1317"/>
      <c r="BN4" s="1317"/>
      <c r="BO4" s="1317"/>
      <c r="BP4" s="1317"/>
      <c r="BQ4" s="1317"/>
      <c r="BR4" s="1317"/>
      <c r="BS4" s="1317"/>
      <c r="BT4" s="1317"/>
      <c r="BU4" s="1317"/>
      <c r="BV4" s="1317"/>
      <c r="BW4" s="1317"/>
      <c r="BX4" s="1317"/>
      <c r="BY4" s="1317"/>
      <c r="BZ4" s="1317"/>
      <c r="CA4" s="1317"/>
      <c r="CB4" s="1317"/>
      <c r="CC4" s="1317"/>
      <c r="CD4" s="1317"/>
      <c r="CE4" s="1317"/>
      <c r="CF4" s="1317"/>
      <c r="CG4" s="1317"/>
      <c r="CH4" s="1317"/>
      <c r="CI4" s="1317"/>
      <c r="CJ4" s="1317"/>
      <c r="CK4" s="1317"/>
      <c r="CL4" s="1317"/>
      <c r="CM4" s="1317"/>
      <c r="CN4" s="1317"/>
      <c r="CO4" s="1317"/>
      <c r="CP4" s="1317"/>
      <c r="CQ4" s="1317"/>
      <c r="CR4" s="1317"/>
      <c r="CS4" s="1317"/>
      <c r="CT4" s="1317"/>
      <c r="CU4" s="1317"/>
      <c r="CV4" s="1317"/>
      <c r="CW4" s="1317"/>
      <c r="CX4" s="1317"/>
      <c r="CY4" s="1317"/>
      <c r="CZ4" s="1317"/>
      <c r="DA4" s="1317"/>
      <c r="DB4" s="1317"/>
      <c r="DC4" s="1317"/>
      <c r="DD4" s="1317"/>
      <c r="DE4" s="1317"/>
      <c r="DF4" s="1317"/>
      <c r="DG4" s="1317"/>
      <c r="DH4" s="1317"/>
      <c r="DI4" s="1317"/>
      <c r="DJ4" s="1317"/>
      <c r="DK4" s="1317"/>
      <c r="DL4" s="1317"/>
      <c r="DM4" s="1317"/>
      <c r="DN4" s="1317"/>
      <c r="DO4" s="1317"/>
      <c r="DP4" s="1317"/>
      <c r="DQ4" s="1317"/>
      <c r="DR4" s="1317"/>
      <c r="DS4" s="1317"/>
      <c r="DT4" s="1317"/>
      <c r="DU4" s="1317"/>
      <c r="DV4" s="1317"/>
      <c r="DW4" s="1317"/>
      <c r="DX4" s="1317"/>
      <c r="DY4" s="1317"/>
      <c r="DZ4" s="1317"/>
      <c r="EA4" s="1317"/>
      <c r="EB4" s="1317"/>
      <c r="EC4" s="1317"/>
      <c r="ED4" s="1317"/>
      <c r="EE4" s="1317"/>
      <c r="EF4" s="1317"/>
      <c r="EG4" s="1317"/>
      <c r="EH4" s="1317"/>
      <c r="EI4" s="1317"/>
      <c r="EJ4" s="1317"/>
      <c r="EK4" s="1317"/>
      <c r="EL4" s="1317"/>
      <c r="EM4" s="1317"/>
      <c r="EN4" s="1317"/>
      <c r="EO4" s="1317"/>
      <c r="EP4" s="1317"/>
      <c r="EQ4" s="1317"/>
      <c r="ER4" s="1317"/>
      <c r="ES4" s="1317"/>
      <c r="ET4" s="1317"/>
      <c r="EU4" s="1317"/>
      <c r="EV4" s="1317"/>
      <c r="EW4" s="1317"/>
      <c r="EX4" s="1317"/>
      <c r="EY4" s="1317"/>
      <c r="EZ4" s="1317"/>
      <c r="FA4" s="1317"/>
      <c r="FB4" s="1317"/>
      <c r="FC4" s="1317"/>
      <c r="FD4" s="1317"/>
      <c r="FE4" s="1317"/>
      <c r="FF4" s="1317"/>
      <c r="FG4" s="1317"/>
      <c r="FH4" s="1317"/>
      <c r="FI4" s="1317"/>
      <c r="FJ4" s="1317"/>
      <c r="FK4" s="1317"/>
      <c r="FL4" s="1317"/>
      <c r="FM4" s="1317"/>
      <c r="FN4" s="1317"/>
      <c r="FO4" s="1317"/>
      <c r="FP4" s="1317"/>
      <c r="FQ4" s="1317"/>
      <c r="FR4" s="1317"/>
      <c r="FS4" s="1317"/>
      <c r="FT4" s="1317"/>
      <c r="FU4" s="1317"/>
      <c r="FV4" s="1317"/>
      <c r="FW4" s="1317"/>
      <c r="FX4" s="1317"/>
      <c r="FY4" s="1317"/>
      <c r="FZ4" s="1317"/>
      <c r="GA4" s="1317"/>
      <c r="GB4" s="1317"/>
      <c r="GC4" s="1317"/>
      <c r="GD4" s="1317"/>
      <c r="GE4" s="1317"/>
      <c r="GF4" s="1317"/>
      <c r="GG4" s="1317"/>
      <c r="GH4" s="1317"/>
      <c r="GI4" s="1317"/>
      <c r="GJ4" s="1317"/>
      <c r="GK4" s="1317"/>
      <c r="GL4" s="1317"/>
      <c r="GM4" s="1317"/>
      <c r="GN4" s="1317"/>
      <c r="GO4" s="1317"/>
      <c r="GP4" s="1317"/>
      <c r="GQ4" s="1317"/>
      <c r="GR4" s="1317"/>
      <c r="GS4" s="1317"/>
      <c r="GT4" s="1317"/>
      <c r="GU4" s="1317"/>
      <c r="GV4" s="1317"/>
      <c r="GW4" s="1317"/>
      <c r="GX4" s="1317"/>
      <c r="GY4" s="1317"/>
      <c r="GZ4" s="1317"/>
      <c r="HA4" s="1317"/>
      <c r="HB4" s="1317"/>
      <c r="HC4" s="1317"/>
      <c r="HD4" s="1317"/>
      <c r="HE4" s="1317"/>
      <c r="HF4" s="1317"/>
      <c r="HG4" s="1317"/>
      <c r="HH4" s="1317"/>
      <c r="HI4" s="1317"/>
      <c r="HJ4" s="1317"/>
      <c r="HK4" s="1317"/>
      <c r="HL4" s="1317"/>
      <c r="HM4" s="1317"/>
      <c r="HN4" s="1317"/>
      <c r="HO4" s="1317"/>
      <c r="HP4" s="1317"/>
      <c r="HQ4" s="1317"/>
      <c r="HR4" s="1317"/>
      <c r="HS4" s="1317"/>
      <c r="HT4" s="1317"/>
      <c r="HU4" s="1317"/>
      <c r="HV4" s="1317"/>
      <c r="HW4" s="1317"/>
      <c r="HX4" s="1317"/>
      <c r="HY4" s="1317"/>
      <c r="HZ4" s="1317"/>
      <c r="IA4" s="1317"/>
      <c r="IB4" s="1317"/>
      <c r="IC4" s="1317"/>
      <c r="ID4" s="1317"/>
      <c r="IE4" s="1317"/>
      <c r="IF4" s="1317"/>
      <c r="IG4" s="1317"/>
      <c r="IH4" s="1317"/>
      <c r="II4" s="1317"/>
      <c r="IJ4" s="1317"/>
      <c r="IK4" s="1317"/>
      <c r="IL4" s="1317"/>
      <c r="IM4" s="1317"/>
      <c r="IN4" s="1317"/>
      <c r="IO4" s="1317"/>
      <c r="IP4" s="1317"/>
      <c r="IQ4" s="1317"/>
      <c r="IR4" s="1317"/>
      <c r="IS4" s="1317"/>
      <c r="IT4" s="1317"/>
      <c r="IU4" s="1317"/>
      <c r="IV4" s="1317"/>
    </row>
    <row r="5" spans="1:256" ht="15.75">
      <c r="A5" s="2041"/>
      <c r="B5" s="2042"/>
      <c r="C5" s="2044" t="s">
        <v>768</v>
      </c>
      <c r="D5" s="2044"/>
      <c r="E5" s="1317"/>
      <c r="F5" s="1317"/>
      <c r="G5" s="1317"/>
      <c r="H5" s="1317"/>
      <c r="I5" s="1317"/>
      <c r="J5" s="1317"/>
      <c r="K5" s="1317"/>
      <c r="L5" s="1317"/>
      <c r="M5" s="1317"/>
      <c r="N5" s="1317"/>
      <c r="O5" s="1317"/>
      <c r="P5" s="1317"/>
      <c r="Q5" s="1317"/>
      <c r="R5" s="1317"/>
      <c r="S5" s="1317"/>
      <c r="T5" s="1317"/>
      <c r="U5" s="1317"/>
      <c r="V5" s="1317"/>
      <c r="W5" s="1317"/>
      <c r="X5" s="1317"/>
      <c r="Y5" s="1317"/>
      <c r="Z5" s="1317"/>
      <c r="AA5" s="1317"/>
      <c r="AB5" s="1317"/>
      <c r="AC5" s="1317"/>
      <c r="AD5" s="1317"/>
      <c r="AE5" s="1317"/>
      <c r="AF5" s="1317"/>
      <c r="AG5" s="1317"/>
      <c r="AH5" s="1317"/>
      <c r="AI5" s="1317"/>
      <c r="AJ5" s="1317"/>
      <c r="AK5" s="1317"/>
      <c r="AL5" s="1317"/>
      <c r="AM5" s="1317"/>
      <c r="AN5" s="1317"/>
      <c r="AO5" s="1317"/>
      <c r="AP5" s="1317"/>
      <c r="AQ5" s="1317"/>
      <c r="AR5" s="1317"/>
      <c r="AS5" s="1317"/>
      <c r="AT5" s="1317"/>
      <c r="AU5" s="1317"/>
      <c r="AV5" s="1317"/>
      <c r="AW5" s="1317"/>
      <c r="AX5" s="1317"/>
      <c r="AY5" s="1317"/>
      <c r="AZ5" s="1317"/>
      <c r="BA5" s="1317"/>
      <c r="BB5" s="1317"/>
      <c r="BC5" s="1317"/>
      <c r="BD5" s="1317"/>
      <c r="BE5" s="1317"/>
      <c r="BF5" s="1317"/>
      <c r="BG5" s="1317"/>
      <c r="BH5" s="1317"/>
      <c r="BI5" s="1317"/>
      <c r="BJ5" s="1317"/>
      <c r="BK5" s="1317"/>
      <c r="BL5" s="1317"/>
      <c r="BM5" s="1317"/>
      <c r="BN5" s="1317"/>
      <c r="BO5" s="1317"/>
      <c r="BP5" s="1317"/>
      <c r="BQ5" s="1317"/>
      <c r="BR5" s="1317"/>
      <c r="BS5" s="1317"/>
      <c r="BT5" s="1317"/>
      <c r="BU5" s="1317"/>
      <c r="BV5" s="1317"/>
      <c r="BW5" s="1317"/>
      <c r="BX5" s="1317"/>
      <c r="BY5" s="1317"/>
      <c r="BZ5" s="1317"/>
      <c r="CA5" s="1317"/>
      <c r="CB5" s="1317"/>
      <c r="CC5" s="1317"/>
      <c r="CD5" s="1317"/>
      <c r="CE5" s="1317"/>
      <c r="CF5" s="1317"/>
      <c r="CG5" s="1317"/>
      <c r="CH5" s="1317"/>
      <c r="CI5" s="1317"/>
      <c r="CJ5" s="1317"/>
      <c r="CK5" s="1317"/>
      <c r="CL5" s="1317"/>
      <c r="CM5" s="1317"/>
      <c r="CN5" s="1317"/>
      <c r="CO5" s="1317"/>
      <c r="CP5" s="1317"/>
      <c r="CQ5" s="1317"/>
      <c r="CR5" s="1317"/>
      <c r="CS5" s="1317"/>
      <c r="CT5" s="1317"/>
      <c r="CU5" s="1317"/>
      <c r="CV5" s="1317"/>
      <c r="CW5" s="1317"/>
      <c r="CX5" s="1317"/>
      <c r="CY5" s="1317"/>
      <c r="CZ5" s="1317"/>
      <c r="DA5" s="1317"/>
      <c r="DB5" s="1317"/>
      <c r="DC5" s="1317"/>
      <c r="DD5" s="1317"/>
      <c r="DE5" s="1317"/>
      <c r="DF5" s="1317"/>
      <c r="DG5" s="1317"/>
      <c r="DH5" s="1317"/>
      <c r="DI5" s="1317"/>
      <c r="DJ5" s="1317"/>
      <c r="DK5" s="1317"/>
      <c r="DL5" s="1317"/>
      <c r="DM5" s="1317"/>
      <c r="DN5" s="1317"/>
      <c r="DO5" s="1317"/>
      <c r="DP5" s="1317"/>
      <c r="DQ5" s="1317"/>
      <c r="DR5" s="1317"/>
      <c r="DS5" s="1317"/>
      <c r="DT5" s="1317"/>
      <c r="DU5" s="1317"/>
      <c r="DV5" s="1317"/>
      <c r="DW5" s="1317"/>
      <c r="DX5" s="1317"/>
      <c r="DY5" s="1317"/>
      <c r="DZ5" s="1317"/>
      <c r="EA5" s="1317"/>
      <c r="EB5" s="1317"/>
      <c r="EC5" s="1317"/>
      <c r="ED5" s="1317"/>
      <c r="EE5" s="1317"/>
      <c r="EF5" s="1317"/>
      <c r="EG5" s="1317"/>
      <c r="EH5" s="1317"/>
      <c r="EI5" s="1317"/>
      <c r="EJ5" s="1317"/>
      <c r="EK5" s="1317"/>
      <c r="EL5" s="1317"/>
      <c r="EM5" s="1317"/>
      <c r="EN5" s="1317"/>
      <c r="EO5" s="1317"/>
      <c r="EP5" s="1317"/>
      <c r="EQ5" s="1317"/>
      <c r="ER5" s="1317"/>
      <c r="ES5" s="1317"/>
      <c r="ET5" s="1317"/>
      <c r="EU5" s="1317"/>
      <c r="EV5" s="1317"/>
      <c r="EW5" s="1317"/>
      <c r="EX5" s="1317"/>
      <c r="EY5" s="1317"/>
      <c r="EZ5" s="1317"/>
      <c r="FA5" s="1317"/>
      <c r="FB5" s="1317"/>
      <c r="FC5" s="1317"/>
      <c r="FD5" s="1317"/>
      <c r="FE5" s="1317"/>
      <c r="FF5" s="1317"/>
      <c r="FG5" s="1317"/>
      <c r="FH5" s="1317"/>
      <c r="FI5" s="1317"/>
      <c r="FJ5" s="1317"/>
      <c r="FK5" s="1317"/>
      <c r="FL5" s="1317"/>
      <c r="FM5" s="1317"/>
      <c r="FN5" s="1317"/>
      <c r="FO5" s="1317"/>
      <c r="FP5" s="1317"/>
      <c r="FQ5" s="1317"/>
      <c r="FR5" s="1317"/>
      <c r="FS5" s="1317"/>
      <c r="FT5" s="1317"/>
      <c r="FU5" s="1317"/>
      <c r="FV5" s="1317"/>
      <c r="FW5" s="1317"/>
      <c r="FX5" s="1317"/>
      <c r="FY5" s="1317"/>
      <c r="FZ5" s="1317"/>
      <c r="GA5" s="1317"/>
      <c r="GB5" s="1317"/>
      <c r="GC5" s="1317"/>
      <c r="GD5" s="1317"/>
      <c r="GE5" s="1317"/>
      <c r="GF5" s="1317"/>
      <c r="GG5" s="1317"/>
      <c r="GH5" s="1317"/>
      <c r="GI5" s="1317"/>
      <c r="GJ5" s="1317"/>
      <c r="GK5" s="1317"/>
      <c r="GL5" s="1317"/>
      <c r="GM5" s="1317"/>
      <c r="GN5" s="1317"/>
      <c r="GO5" s="1317"/>
      <c r="GP5" s="1317"/>
      <c r="GQ5" s="1317"/>
      <c r="GR5" s="1317"/>
      <c r="GS5" s="1317"/>
      <c r="GT5" s="1317"/>
      <c r="GU5" s="1317"/>
      <c r="GV5" s="1317"/>
      <c r="GW5" s="1317"/>
      <c r="GX5" s="1317"/>
      <c r="GY5" s="1317"/>
      <c r="GZ5" s="1317"/>
      <c r="HA5" s="1317"/>
      <c r="HB5" s="1317"/>
      <c r="HC5" s="1317"/>
      <c r="HD5" s="1317"/>
      <c r="HE5" s="1317"/>
      <c r="HF5" s="1317"/>
      <c r="HG5" s="1317"/>
      <c r="HH5" s="1317"/>
      <c r="HI5" s="1317"/>
      <c r="HJ5" s="1317"/>
      <c r="HK5" s="1317"/>
      <c r="HL5" s="1317"/>
      <c r="HM5" s="1317"/>
      <c r="HN5" s="1317"/>
      <c r="HO5" s="1317"/>
      <c r="HP5" s="1317"/>
      <c r="HQ5" s="1317"/>
      <c r="HR5" s="1317"/>
      <c r="HS5" s="1317"/>
      <c r="HT5" s="1317"/>
      <c r="HU5" s="1317"/>
      <c r="HV5" s="1317"/>
      <c r="HW5" s="1317"/>
      <c r="HX5" s="1317"/>
      <c r="HY5" s="1317"/>
      <c r="HZ5" s="1317"/>
      <c r="IA5" s="1317"/>
      <c r="IB5" s="1317"/>
      <c r="IC5" s="1317"/>
      <c r="ID5" s="1317"/>
      <c r="IE5" s="1317"/>
      <c r="IF5" s="1317"/>
      <c r="IG5" s="1317"/>
      <c r="IH5" s="1317"/>
      <c r="II5" s="1317"/>
      <c r="IJ5" s="1317"/>
      <c r="IK5" s="1317"/>
      <c r="IL5" s="1317"/>
      <c r="IM5" s="1317"/>
      <c r="IN5" s="1317"/>
      <c r="IO5" s="1317"/>
      <c r="IP5" s="1317"/>
      <c r="IQ5" s="1317"/>
      <c r="IR5" s="1317"/>
      <c r="IS5" s="1317"/>
      <c r="IT5" s="1317"/>
      <c r="IU5" s="1317"/>
      <c r="IV5" s="1317"/>
    </row>
    <row r="6" spans="1:256" ht="16.5" thickBot="1">
      <c r="A6" s="1319" t="s">
        <v>769</v>
      </c>
      <c r="B6" s="1320" t="s">
        <v>14</v>
      </c>
      <c r="C6" s="1320" t="s">
        <v>547</v>
      </c>
      <c r="D6" s="1320" t="s">
        <v>548</v>
      </c>
      <c r="E6" s="1321"/>
      <c r="F6" s="1321"/>
      <c r="G6" s="1321"/>
      <c r="H6" s="1321"/>
      <c r="I6" s="1321"/>
      <c r="J6" s="1321"/>
      <c r="K6" s="1321"/>
      <c r="L6" s="1321"/>
      <c r="M6" s="1321"/>
      <c r="N6" s="1321"/>
      <c r="O6" s="1321"/>
      <c r="P6" s="1321"/>
      <c r="Q6" s="1321"/>
      <c r="R6" s="1321"/>
      <c r="S6" s="1321"/>
      <c r="T6" s="1321"/>
      <c r="U6" s="1321"/>
      <c r="V6" s="1321"/>
      <c r="W6" s="1321"/>
      <c r="X6" s="1321"/>
      <c r="Y6" s="1321"/>
      <c r="Z6" s="1321"/>
      <c r="AA6" s="1321"/>
      <c r="AB6" s="1321"/>
      <c r="AC6" s="1321"/>
      <c r="AD6" s="1321"/>
      <c r="AE6" s="1321"/>
      <c r="AF6" s="1321"/>
      <c r="AG6" s="1321"/>
      <c r="AH6" s="1321"/>
      <c r="AI6" s="1321"/>
      <c r="AJ6" s="1321"/>
      <c r="AK6" s="1321"/>
      <c r="AL6" s="1321"/>
      <c r="AM6" s="1321"/>
      <c r="AN6" s="1321"/>
      <c r="AO6" s="1321"/>
      <c r="AP6" s="1321"/>
      <c r="AQ6" s="1321"/>
      <c r="AR6" s="1321"/>
      <c r="AS6" s="1321"/>
      <c r="AT6" s="1321"/>
      <c r="AU6" s="1321"/>
      <c r="AV6" s="1321"/>
      <c r="AW6" s="1321"/>
      <c r="AX6" s="1321"/>
      <c r="AY6" s="1321"/>
      <c r="AZ6" s="1321"/>
      <c r="BA6" s="1321"/>
      <c r="BB6" s="1321"/>
      <c r="BC6" s="1321"/>
      <c r="BD6" s="1321"/>
      <c r="BE6" s="1321"/>
      <c r="BF6" s="1321"/>
      <c r="BG6" s="1321"/>
      <c r="BH6" s="1321"/>
      <c r="BI6" s="1321"/>
      <c r="BJ6" s="1321"/>
      <c r="BK6" s="1321"/>
      <c r="BL6" s="1321"/>
      <c r="BM6" s="1321"/>
      <c r="BN6" s="1321"/>
      <c r="BO6" s="1321"/>
      <c r="BP6" s="1321"/>
      <c r="BQ6" s="1321"/>
      <c r="BR6" s="1321"/>
      <c r="BS6" s="1321"/>
      <c r="BT6" s="1321"/>
      <c r="BU6" s="1321"/>
      <c r="BV6" s="1321"/>
      <c r="BW6" s="1321"/>
      <c r="BX6" s="1321"/>
      <c r="BY6" s="1321"/>
      <c r="BZ6" s="1321"/>
      <c r="CA6" s="1321"/>
      <c r="CB6" s="1321"/>
      <c r="CC6" s="1321"/>
      <c r="CD6" s="1321"/>
      <c r="CE6" s="1321"/>
      <c r="CF6" s="1321"/>
      <c r="CG6" s="1321"/>
      <c r="CH6" s="1321"/>
      <c r="CI6" s="1321"/>
      <c r="CJ6" s="1321"/>
      <c r="CK6" s="1321"/>
      <c r="CL6" s="1321"/>
      <c r="CM6" s="1321"/>
      <c r="CN6" s="1321"/>
      <c r="CO6" s="1321"/>
      <c r="CP6" s="1321"/>
      <c r="CQ6" s="1321"/>
      <c r="CR6" s="1321"/>
      <c r="CS6" s="1321"/>
      <c r="CT6" s="1321"/>
      <c r="CU6" s="1321"/>
      <c r="CV6" s="1321"/>
      <c r="CW6" s="1321"/>
      <c r="CX6" s="1321"/>
      <c r="CY6" s="1321"/>
      <c r="CZ6" s="1321"/>
      <c r="DA6" s="1321"/>
      <c r="DB6" s="1321"/>
      <c r="DC6" s="1321"/>
      <c r="DD6" s="1321"/>
      <c r="DE6" s="1321"/>
      <c r="DF6" s="1321"/>
      <c r="DG6" s="1321"/>
      <c r="DH6" s="1321"/>
      <c r="DI6" s="1321"/>
      <c r="DJ6" s="1321"/>
      <c r="DK6" s="1321"/>
      <c r="DL6" s="1321"/>
      <c r="DM6" s="1321"/>
      <c r="DN6" s="1321"/>
      <c r="DO6" s="1321"/>
      <c r="DP6" s="1321"/>
      <c r="DQ6" s="1321"/>
      <c r="DR6" s="1321"/>
      <c r="DS6" s="1321"/>
      <c r="DT6" s="1321"/>
      <c r="DU6" s="1321"/>
      <c r="DV6" s="1321"/>
      <c r="DW6" s="1321"/>
      <c r="DX6" s="1321"/>
      <c r="DY6" s="1321"/>
      <c r="DZ6" s="1321"/>
      <c r="EA6" s="1321"/>
      <c r="EB6" s="1321"/>
      <c r="EC6" s="1321"/>
      <c r="ED6" s="1321"/>
      <c r="EE6" s="1321"/>
      <c r="EF6" s="1321"/>
      <c r="EG6" s="1321"/>
      <c r="EH6" s="1321"/>
      <c r="EI6" s="1321"/>
      <c r="EJ6" s="1321"/>
      <c r="EK6" s="1321"/>
      <c r="EL6" s="1321"/>
      <c r="EM6" s="1321"/>
      <c r="EN6" s="1321"/>
      <c r="EO6" s="1321"/>
      <c r="EP6" s="1321"/>
      <c r="EQ6" s="1321"/>
      <c r="ER6" s="1321"/>
      <c r="ES6" s="1321"/>
      <c r="ET6" s="1321"/>
      <c r="EU6" s="1321"/>
      <c r="EV6" s="1321"/>
      <c r="EW6" s="1321"/>
      <c r="EX6" s="1321"/>
      <c r="EY6" s="1321"/>
      <c r="EZ6" s="1321"/>
      <c r="FA6" s="1321"/>
      <c r="FB6" s="1321"/>
      <c r="FC6" s="1321"/>
      <c r="FD6" s="1321"/>
      <c r="FE6" s="1321"/>
      <c r="FF6" s="1321"/>
      <c r="FG6" s="1321"/>
      <c r="FH6" s="1321"/>
      <c r="FI6" s="1321"/>
      <c r="FJ6" s="1321"/>
      <c r="FK6" s="1321"/>
      <c r="FL6" s="1321"/>
      <c r="FM6" s="1321"/>
      <c r="FN6" s="1321"/>
      <c r="FO6" s="1321"/>
      <c r="FP6" s="1321"/>
      <c r="FQ6" s="1321"/>
      <c r="FR6" s="1321"/>
      <c r="FS6" s="1321"/>
      <c r="FT6" s="1321"/>
      <c r="FU6" s="1321"/>
      <c r="FV6" s="1321"/>
      <c r="FW6" s="1321"/>
      <c r="FX6" s="1321"/>
      <c r="FY6" s="1321"/>
      <c r="FZ6" s="1321"/>
      <c r="GA6" s="1321"/>
      <c r="GB6" s="1321"/>
      <c r="GC6" s="1321"/>
      <c r="GD6" s="1321"/>
      <c r="GE6" s="1321"/>
      <c r="GF6" s="1321"/>
      <c r="GG6" s="1321"/>
      <c r="GH6" s="1321"/>
      <c r="GI6" s="1321"/>
      <c r="GJ6" s="1321"/>
      <c r="GK6" s="1321"/>
      <c r="GL6" s="1321"/>
      <c r="GM6" s="1321"/>
      <c r="GN6" s="1321"/>
      <c r="GO6" s="1321"/>
      <c r="GP6" s="1321"/>
      <c r="GQ6" s="1321"/>
      <c r="GR6" s="1321"/>
      <c r="GS6" s="1321"/>
      <c r="GT6" s="1321"/>
      <c r="GU6" s="1321"/>
      <c r="GV6" s="1321"/>
      <c r="GW6" s="1321"/>
      <c r="GX6" s="1321"/>
      <c r="GY6" s="1321"/>
      <c r="GZ6" s="1321"/>
      <c r="HA6" s="1321"/>
      <c r="HB6" s="1321"/>
      <c r="HC6" s="1321"/>
      <c r="HD6" s="1321"/>
      <c r="HE6" s="1321"/>
      <c r="HF6" s="1321"/>
      <c r="HG6" s="1321"/>
      <c r="HH6" s="1321"/>
      <c r="HI6" s="1321"/>
      <c r="HJ6" s="1321"/>
      <c r="HK6" s="1321"/>
      <c r="HL6" s="1321"/>
      <c r="HM6" s="1321"/>
      <c r="HN6" s="1321"/>
      <c r="HO6" s="1321"/>
      <c r="HP6" s="1321"/>
      <c r="HQ6" s="1321"/>
      <c r="HR6" s="1321"/>
      <c r="HS6" s="1321"/>
      <c r="HT6" s="1321"/>
      <c r="HU6" s="1321"/>
      <c r="HV6" s="1321"/>
      <c r="HW6" s="1321"/>
      <c r="HX6" s="1321"/>
      <c r="HY6" s="1321"/>
      <c r="HZ6" s="1321"/>
      <c r="IA6" s="1321"/>
      <c r="IB6" s="1321"/>
      <c r="IC6" s="1321"/>
      <c r="ID6" s="1321"/>
      <c r="IE6" s="1321"/>
      <c r="IF6" s="1321"/>
      <c r="IG6" s="1321"/>
      <c r="IH6" s="1321"/>
      <c r="II6" s="1321"/>
      <c r="IJ6" s="1321"/>
      <c r="IK6" s="1321"/>
      <c r="IL6" s="1321"/>
      <c r="IM6" s="1321"/>
      <c r="IN6" s="1321"/>
      <c r="IO6" s="1321"/>
      <c r="IP6" s="1321"/>
      <c r="IQ6" s="1321"/>
      <c r="IR6" s="1321"/>
      <c r="IS6" s="1321"/>
      <c r="IT6" s="1321"/>
      <c r="IU6" s="1321"/>
      <c r="IV6" s="1321"/>
    </row>
    <row r="7" spans="1:256" ht="15.75">
      <c r="A7" s="1322" t="s">
        <v>770</v>
      </c>
      <c r="B7" s="1323" t="s">
        <v>771</v>
      </c>
      <c r="C7" s="1324">
        <f>SUM(C8:C11)</f>
        <v>31145743</v>
      </c>
      <c r="D7" s="1324">
        <f>SUM(D8:D11)</f>
        <v>3083204</v>
      </c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1325"/>
      <c r="AN7" s="1325"/>
      <c r="AO7" s="1325"/>
      <c r="AP7" s="1325"/>
      <c r="AQ7" s="1325"/>
      <c r="AR7" s="1325"/>
      <c r="AS7" s="1325"/>
      <c r="AT7" s="1325"/>
      <c r="AU7" s="1325"/>
      <c r="AV7" s="1325"/>
      <c r="AW7" s="1325"/>
      <c r="AX7" s="1325"/>
      <c r="AY7" s="1325"/>
      <c r="AZ7" s="1325"/>
      <c r="BA7" s="1325"/>
      <c r="BB7" s="1325"/>
      <c r="BC7" s="1325"/>
      <c r="BD7" s="1325"/>
      <c r="BE7" s="1325"/>
      <c r="BF7" s="1325"/>
      <c r="BG7" s="1325"/>
      <c r="BH7" s="1325"/>
      <c r="BI7" s="1325"/>
      <c r="BJ7" s="1325"/>
      <c r="BK7" s="1325"/>
      <c r="BL7" s="1325"/>
      <c r="BM7" s="1325"/>
      <c r="BN7" s="1325"/>
      <c r="BO7" s="1325"/>
      <c r="BP7" s="1325"/>
      <c r="BQ7" s="1325"/>
      <c r="BR7" s="1325"/>
      <c r="BS7" s="1325"/>
      <c r="BT7" s="1325"/>
      <c r="BU7" s="1325"/>
      <c r="BV7" s="1325"/>
      <c r="BW7" s="1325"/>
      <c r="BX7" s="1325"/>
      <c r="BY7" s="1325"/>
      <c r="BZ7" s="1325"/>
      <c r="CA7" s="1325"/>
      <c r="CB7" s="1325"/>
      <c r="CC7" s="1325"/>
      <c r="CD7" s="1325"/>
      <c r="CE7" s="1325"/>
      <c r="CF7" s="1325"/>
      <c r="CG7" s="1325"/>
      <c r="CH7" s="1325"/>
      <c r="CI7" s="1325"/>
      <c r="CJ7" s="1325"/>
      <c r="CK7" s="1325"/>
      <c r="CL7" s="1325"/>
      <c r="CM7" s="1325"/>
      <c r="CN7" s="1325"/>
      <c r="CO7" s="1325"/>
      <c r="CP7" s="1325"/>
      <c r="CQ7" s="1325"/>
      <c r="CR7" s="1325"/>
      <c r="CS7" s="1325"/>
      <c r="CT7" s="1325"/>
      <c r="CU7" s="1325"/>
      <c r="CV7" s="1325"/>
      <c r="CW7" s="1325"/>
      <c r="CX7" s="1325"/>
      <c r="CY7" s="1325"/>
      <c r="CZ7" s="1325"/>
      <c r="DA7" s="1325"/>
      <c r="DB7" s="1325"/>
      <c r="DC7" s="1325"/>
      <c r="DD7" s="1325"/>
      <c r="DE7" s="1325"/>
      <c r="DF7" s="1325"/>
      <c r="DG7" s="1325"/>
      <c r="DH7" s="1325"/>
      <c r="DI7" s="1325"/>
      <c r="DJ7" s="1325"/>
      <c r="DK7" s="1325"/>
      <c r="DL7" s="1325"/>
      <c r="DM7" s="1325"/>
      <c r="DN7" s="1325"/>
      <c r="DO7" s="1325"/>
      <c r="DP7" s="1325"/>
      <c r="DQ7" s="1325"/>
      <c r="DR7" s="1325"/>
      <c r="DS7" s="1325"/>
      <c r="DT7" s="1325"/>
      <c r="DU7" s="1325"/>
      <c r="DV7" s="1325"/>
      <c r="DW7" s="1325"/>
      <c r="DX7" s="1325"/>
      <c r="DY7" s="1325"/>
      <c r="DZ7" s="1325"/>
      <c r="EA7" s="1325"/>
      <c r="EB7" s="1325"/>
      <c r="EC7" s="1325"/>
      <c r="ED7" s="1325"/>
      <c r="EE7" s="1325"/>
      <c r="EF7" s="1325"/>
      <c r="EG7" s="1325"/>
      <c r="EH7" s="1325"/>
      <c r="EI7" s="1325"/>
      <c r="EJ7" s="1325"/>
      <c r="EK7" s="1325"/>
      <c r="EL7" s="1325"/>
      <c r="EM7" s="1325"/>
      <c r="EN7" s="1325"/>
      <c r="EO7" s="1325"/>
      <c r="EP7" s="1325"/>
      <c r="EQ7" s="1325"/>
      <c r="ER7" s="1325"/>
      <c r="ES7" s="1325"/>
      <c r="ET7" s="1325"/>
      <c r="EU7" s="1325"/>
      <c r="EV7" s="1325"/>
      <c r="EW7" s="1325"/>
      <c r="EX7" s="1325"/>
      <c r="EY7" s="1325"/>
      <c r="EZ7" s="1325"/>
      <c r="FA7" s="1325"/>
      <c r="FB7" s="1325"/>
      <c r="FC7" s="1325"/>
      <c r="FD7" s="1325"/>
      <c r="FE7" s="1325"/>
      <c r="FF7" s="1325"/>
      <c r="FG7" s="1325"/>
      <c r="FH7" s="1325"/>
      <c r="FI7" s="1325"/>
      <c r="FJ7" s="1325"/>
      <c r="FK7" s="1325"/>
      <c r="FL7" s="1325"/>
      <c r="FM7" s="1325"/>
      <c r="FN7" s="1325"/>
      <c r="FO7" s="1325"/>
      <c r="FP7" s="1325"/>
      <c r="FQ7" s="1325"/>
      <c r="FR7" s="1325"/>
      <c r="FS7" s="1325"/>
      <c r="FT7" s="1325"/>
      <c r="FU7" s="1325"/>
      <c r="FV7" s="1325"/>
      <c r="FW7" s="1325"/>
      <c r="FX7" s="1325"/>
      <c r="FY7" s="1325"/>
      <c r="FZ7" s="1325"/>
      <c r="GA7" s="1325"/>
      <c r="GB7" s="1325"/>
      <c r="GC7" s="1325"/>
      <c r="GD7" s="1325"/>
      <c r="GE7" s="1325"/>
      <c r="GF7" s="1325"/>
      <c r="GG7" s="1325"/>
      <c r="GH7" s="1325"/>
      <c r="GI7" s="1325"/>
      <c r="GJ7" s="1325"/>
      <c r="GK7" s="1325"/>
      <c r="GL7" s="1325"/>
      <c r="GM7" s="1325"/>
      <c r="GN7" s="1325"/>
      <c r="GO7" s="1325"/>
      <c r="GP7" s="1325"/>
      <c r="GQ7" s="1325"/>
      <c r="GR7" s="1325"/>
      <c r="GS7" s="1325"/>
      <c r="GT7" s="1325"/>
      <c r="GU7" s="1325"/>
      <c r="GV7" s="1325"/>
      <c r="GW7" s="1325"/>
      <c r="GX7" s="1325"/>
      <c r="GY7" s="1325"/>
      <c r="GZ7" s="1325"/>
      <c r="HA7" s="1325"/>
      <c r="HB7" s="1325"/>
      <c r="HC7" s="1325"/>
      <c r="HD7" s="1325"/>
      <c r="HE7" s="1325"/>
      <c r="HF7" s="1325"/>
      <c r="HG7" s="1325"/>
      <c r="HH7" s="1325"/>
      <c r="HI7" s="1325"/>
      <c r="HJ7" s="1325"/>
      <c r="HK7" s="1325"/>
      <c r="HL7" s="1325"/>
      <c r="HM7" s="1325"/>
      <c r="HN7" s="1325"/>
      <c r="HO7" s="1325"/>
      <c r="HP7" s="1325"/>
      <c r="HQ7" s="1325"/>
      <c r="HR7" s="1325"/>
      <c r="HS7" s="1325"/>
      <c r="HT7" s="1325"/>
      <c r="HU7" s="1325"/>
      <c r="HV7" s="1325"/>
      <c r="HW7" s="1325"/>
      <c r="HX7" s="1325"/>
      <c r="HY7" s="1325"/>
      <c r="HZ7" s="1325"/>
      <c r="IA7" s="1325"/>
      <c r="IB7" s="1325"/>
      <c r="IC7" s="1325"/>
      <c r="ID7" s="1325"/>
      <c r="IE7" s="1325"/>
      <c r="IF7" s="1325"/>
      <c r="IG7" s="1325"/>
      <c r="IH7" s="1325"/>
      <c r="II7" s="1325"/>
      <c r="IJ7" s="1325"/>
      <c r="IK7" s="1325"/>
      <c r="IL7" s="1325"/>
      <c r="IM7" s="1325"/>
      <c r="IN7" s="1325"/>
      <c r="IO7" s="1325"/>
      <c r="IP7" s="1325"/>
      <c r="IQ7" s="1325"/>
      <c r="IR7" s="1325"/>
      <c r="IS7" s="1325"/>
      <c r="IT7" s="1325"/>
      <c r="IU7" s="1325"/>
      <c r="IV7" s="1325"/>
    </row>
    <row r="8" spans="1:256" ht="15.75">
      <c r="A8" s="1326" t="s">
        <v>772</v>
      </c>
      <c r="B8" s="1327" t="s">
        <v>773</v>
      </c>
      <c r="C8" s="1328"/>
      <c r="D8" s="1328"/>
      <c r="E8" s="1325"/>
      <c r="F8" s="1325"/>
      <c r="G8" s="1325"/>
      <c r="H8" s="1325"/>
      <c r="I8" s="1325"/>
      <c r="J8" s="1325"/>
      <c r="K8" s="1325"/>
      <c r="L8" s="1325"/>
      <c r="M8" s="1325"/>
      <c r="N8" s="1325"/>
      <c r="O8" s="1325"/>
      <c r="P8" s="1325"/>
      <c r="Q8" s="1325"/>
      <c r="R8" s="1325"/>
      <c r="S8" s="1325"/>
      <c r="T8" s="1325"/>
      <c r="U8" s="1325"/>
      <c r="V8" s="1325"/>
      <c r="W8" s="1325"/>
      <c r="X8" s="1325"/>
      <c r="Y8" s="1325"/>
      <c r="Z8" s="1325"/>
      <c r="AA8" s="1325"/>
      <c r="AB8" s="1325"/>
      <c r="AC8" s="1325"/>
      <c r="AD8" s="1325"/>
      <c r="AE8" s="1325"/>
      <c r="AF8" s="1325"/>
      <c r="AG8" s="1325"/>
      <c r="AH8" s="1325"/>
      <c r="AI8" s="1325"/>
      <c r="AJ8" s="1325"/>
      <c r="AK8" s="1325"/>
      <c r="AL8" s="1325"/>
      <c r="AM8" s="1325"/>
      <c r="AN8" s="1325"/>
      <c r="AO8" s="1325"/>
      <c r="AP8" s="1325"/>
      <c r="AQ8" s="1325"/>
      <c r="AR8" s="1325"/>
      <c r="AS8" s="1325"/>
      <c r="AT8" s="1325"/>
      <c r="AU8" s="1325"/>
      <c r="AV8" s="1325"/>
      <c r="AW8" s="1325"/>
      <c r="AX8" s="1325"/>
      <c r="AY8" s="1325"/>
      <c r="AZ8" s="1325"/>
      <c r="BA8" s="1325"/>
      <c r="BB8" s="1325"/>
      <c r="BC8" s="1325"/>
      <c r="BD8" s="1325"/>
      <c r="BE8" s="1325"/>
      <c r="BF8" s="1325"/>
      <c r="BG8" s="1325"/>
      <c r="BH8" s="1325"/>
      <c r="BI8" s="1325"/>
      <c r="BJ8" s="1325"/>
      <c r="BK8" s="1325"/>
      <c r="BL8" s="1325"/>
      <c r="BM8" s="1325"/>
      <c r="BN8" s="1325"/>
      <c r="BO8" s="1325"/>
      <c r="BP8" s="1325"/>
      <c r="BQ8" s="1325"/>
      <c r="BR8" s="1325"/>
      <c r="BS8" s="1325"/>
      <c r="BT8" s="1325"/>
      <c r="BU8" s="1325"/>
      <c r="BV8" s="1325"/>
      <c r="BW8" s="1325"/>
      <c r="BX8" s="1325"/>
      <c r="BY8" s="1325"/>
      <c r="BZ8" s="1325"/>
      <c r="CA8" s="1325"/>
      <c r="CB8" s="1325"/>
      <c r="CC8" s="1325"/>
      <c r="CD8" s="1325"/>
      <c r="CE8" s="1325"/>
      <c r="CF8" s="1325"/>
      <c r="CG8" s="1325"/>
      <c r="CH8" s="1325"/>
      <c r="CI8" s="1325"/>
      <c r="CJ8" s="1325"/>
      <c r="CK8" s="1325"/>
      <c r="CL8" s="1325"/>
      <c r="CM8" s="1325"/>
      <c r="CN8" s="1325"/>
      <c r="CO8" s="1325"/>
      <c r="CP8" s="1325"/>
      <c r="CQ8" s="1325"/>
      <c r="CR8" s="1325"/>
      <c r="CS8" s="1325"/>
      <c r="CT8" s="1325"/>
      <c r="CU8" s="1325"/>
      <c r="CV8" s="1325"/>
      <c r="CW8" s="1325"/>
      <c r="CX8" s="1325"/>
      <c r="CY8" s="1325"/>
      <c r="CZ8" s="1325"/>
      <c r="DA8" s="1325"/>
      <c r="DB8" s="1325"/>
      <c r="DC8" s="1325"/>
      <c r="DD8" s="1325"/>
      <c r="DE8" s="1325"/>
      <c r="DF8" s="1325"/>
      <c r="DG8" s="1325"/>
      <c r="DH8" s="1325"/>
      <c r="DI8" s="1325"/>
      <c r="DJ8" s="1325"/>
      <c r="DK8" s="1325"/>
      <c r="DL8" s="1325"/>
      <c r="DM8" s="1325"/>
      <c r="DN8" s="1325"/>
      <c r="DO8" s="1325"/>
      <c r="DP8" s="1325"/>
      <c r="DQ8" s="1325"/>
      <c r="DR8" s="1325"/>
      <c r="DS8" s="1325"/>
      <c r="DT8" s="1325"/>
      <c r="DU8" s="1325"/>
      <c r="DV8" s="1325"/>
      <c r="DW8" s="1325"/>
      <c r="DX8" s="1325"/>
      <c r="DY8" s="1325"/>
      <c r="DZ8" s="1325"/>
      <c r="EA8" s="1325"/>
      <c r="EB8" s="1325"/>
      <c r="EC8" s="1325"/>
      <c r="ED8" s="1325"/>
      <c r="EE8" s="1325"/>
      <c r="EF8" s="1325"/>
      <c r="EG8" s="1325"/>
      <c r="EH8" s="1325"/>
      <c r="EI8" s="1325"/>
      <c r="EJ8" s="1325"/>
      <c r="EK8" s="1325"/>
      <c r="EL8" s="1325"/>
      <c r="EM8" s="1325"/>
      <c r="EN8" s="1325"/>
      <c r="EO8" s="1325"/>
      <c r="EP8" s="1325"/>
      <c r="EQ8" s="1325"/>
      <c r="ER8" s="1325"/>
      <c r="ES8" s="1325"/>
      <c r="ET8" s="1325"/>
      <c r="EU8" s="1325"/>
      <c r="EV8" s="1325"/>
      <c r="EW8" s="1325"/>
      <c r="EX8" s="1325"/>
      <c r="EY8" s="1325"/>
      <c r="EZ8" s="1325"/>
      <c r="FA8" s="1325"/>
      <c r="FB8" s="1325"/>
      <c r="FC8" s="1325"/>
      <c r="FD8" s="1325"/>
      <c r="FE8" s="1325"/>
      <c r="FF8" s="1325"/>
      <c r="FG8" s="1325"/>
      <c r="FH8" s="1325"/>
      <c r="FI8" s="1325"/>
      <c r="FJ8" s="1325"/>
      <c r="FK8" s="1325"/>
      <c r="FL8" s="1325"/>
      <c r="FM8" s="1325"/>
      <c r="FN8" s="1325"/>
      <c r="FO8" s="1325"/>
      <c r="FP8" s="1325"/>
      <c r="FQ8" s="1325"/>
      <c r="FR8" s="1325"/>
      <c r="FS8" s="1325"/>
      <c r="FT8" s="1325"/>
      <c r="FU8" s="1325"/>
      <c r="FV8" s="1325"/>
      <c r="FW8" s="1325"/>
      <c r="FX8" s="1325"/>
      <c r="FY8" s="1325"/>
      <c r="FZ8" s="1325"/>
      <c r="GA8" s="1325"/>
      <c r="GB8" s="1325"/>
      <c r="GC8" s="1325"/>
      <c r="GD8" s="1325"/>
      <c r="GE8" s="1325"/>
      <c r="GF8" s="1325"/>
      <c r="GG8" s="1325"/>
      <c r="GH8" s="1325"/>
      <c r="GI8" s="1325"/>
      <c r="GJ8" s="1325"/>
      <c r="GK8" s="1325"/>
      <c r="GL8" s="1325"/>
      <c r="GM8" s="1325"/>
      <c r="GN8" s="1325"/>
      <c r="GO8" s="1325"/>
      <c r="GP8" s="1325"/>
      <c r="GQ8" s="1325"/>
      <c r="GR8" s="1325"/>
      <c r="GS8" s="1325"/>
      <c r="GT8" s="1325"/>
      <c r="GU8" s="1325"/>
      <c r="GV8" s="1325"/>
      <c r="GW8" s="1325"/>
      <c r="GX8" s="1325"/>
      <c r="GY8" s="1325"/>
      <c r="GZ8" s="1325"/>
      <c r="HA8" s="1325"/>
      <c r="HB8" s="1325"/>
      <c r="HC8" s="1325"/>
      <c r="HD8" s="1325"/>
      <c r="HE8" s="1325"/>
      <c r="HF8" s="1325"/>
      <c r="HG8" s="1325"/>
      <c r="HH8" s="1325"/>
      <c r="HI8" s="1325"/>
      <c r="HJ8" s="1325"/>
      <c r="HK8" s="1325"/>
      <c r="HL8" s="1325"/>
      <c r="HM8" s="1325"/>
      <c r="HN8" s="1325"/>
      <c r="HO8" s="1325"/>
      <c r="HP8" s="1325"/>
      <c r="HQ8" s="1325"/>
      <c r="HR8" s="1325"/>
      <c r="HS8" s="1325"/>
      <c r="HT8" s="1325"/>
      <c r="HU8" s="1325"/>
      <c r="HV8" s="1325"/>
      <c r="HW8" s="1325"/>
      <c r="HX8" s="1325"/>
      <c r="HY8" s="1325"/>
      <c r="HZ8" s="1325"/>
      <c r="IA8" s="1325"/>
      <c r="IB8" s="1325"/>
      <c r="IC8" s="1325"/>
      <c r="ID8" s="1325"/>
      <c r="IE8" s="1325"/>
      <c r="IF8" s="1325"/>
      <c r="IG8" s="1325"/>
      <c r="IH8" s="1325"/>
      <c r="II8" s="1325"/>
      <c r="IJ8" s="1325"/>
      <c r="IK8" s="1325"/>
      <c r="IL8" s="1325"/>
      <c r="IM8" s="1325"/>
      <c r="IN8" s="1325"/>
      <c r="IO8" s="1325"/>
      <c r="IP8" s="1325"/>
      <c r="IQ8" s="1325"/>
      <c r="IR8" s="1325"/>
      <c r="IS8" s="1325"/>
      <c r="IT8" s="1325"/>
      <c r="IU8" s="1325"/>
      <c r="IV8" s="1325"/>
    </row>
    <row r="9" spans="1:256" ht="38.25">
      <c r="A9" s="1326" t="s">
        <v>774</v>
      </c>
      <c r="B9" s="1327" t="s">
        <v>775</v>
      </c>
      <c r="C9" s="1328"/>
      <c r="D9" s="1328"/>
      <c r="E9" s="1325"/>
      <c r="F9" s="1325"/>
      <c r="G9" s="1325"/>
      <c r="H9" s="1325"/>
      <c r="I9" s="1325"/>
      <c r="J9" s="1325"/>
      <c r="K9" s="1325"/>
      <c r="L9" s="1325"/>
      <c r="M9" s="1325"/>
      <c r="N9" s="1325"/>
      <c r="O9" s="1325"/>
      <c r="P9" s="1325"/>
      <c r="Q9" s="1325"/>
      <c r="R9" s="1325"/>
      <c r="S9" s="1325"/>
      <c r="T9" s="1325"/>
      <c r="U9" s="1325"/>
      <c r="V9" s="1325"/>
      <c r="W9" s="1325"/>
      <c r="X9" s="1325"/>
      <c r="Y9" s="1325"/>
      <c r="Z9" s="1325"/>
      <c r="AA9" s="1325"/>
      <c r="AB9" s="1325"/>
      <c r="AC9" s="1325"/>
      <c r="AD9" s="1325"/>
      <c r="AE9" s="1325"/>
      <c r="AF9" s="1325"/>
      <c r="AG9" s="1325"/>
      <c r="AH9" s="1325"/>
      <c r="AI9" s="1325"/>
      <c r="AJ9" s="1325"/>
      <c r="AK9" s="1325"/>
      <c r="AL9" s="1325"/>
      <c r="AM9" s="1325"/>
      <c r="AN9" s="1325"/>
      <c r="AO9" s="1325"/>
      <c r="AP9" s="1325"/>
      <c r="AQ9" s="1325"/>
      <c r="AR9" s="1325"/>
      <c r="AS9" s="1325"/>
      <c r="AT9" s="1325"/>
      <c r="AU9" s="1325"/>
      <c r="AV9" s="1325"/>
      <c r="AW9" s="1325"/>
      <c r="AX9" s="1325"/>
      <c r="AY9" s="1325"/>
      <c r="AZ9" s="1325"/>
      <c r="BA9" s="1325"/>
      <c r="BB9" s="1325"/>
      <c r="BC9" s="1325"/>
      <c r="BD9" s="1325"/>
      <c r="BE9" s="1325"/>
      <c r="BF9" s="1325"/>
      <c r="BG9" s="1325"/>
      <c r="BH9" s="1325"/>
      <c r="BI9" s="1325"/>
      <c r="BJ9" s="1325"/>
      <c r="BK9" s="1325"/>
      <c r="BL9" s="1325"/>
      <c r="BM9" s="1325"/>
      <c r="BN9" s="1325"/>
      <c r="BO9" s="1325"/>
      <c r="BP9" s="1325"/>
      <c r="BQ9" s="1325"/>
      <c r="BR9" s="1325"/>
      <c r="BS9" s="1325"/>
      <c r="BT9" s="1325"/>
      <c r="BU9" s="1325"/>
      <c r="BV9" s="1325"/>
      <c r="BW9" s="1325"/>
      <c r="BX9" s="1325"/>
      <c r="BY9" s="1325"/>
      <c r="BZ9" s="1325"/>
      <c r="CA9" s="1325"/>
      <c r="CB9" s="1325"/>
      <c r="CC9" s="1325"/>
      <c r="CD9" s="1325"/>
      <c r="CE9" s="1325"/>
      <c r="CF9" s="1325"/>
      <c r="CG9" s="1325"/>
      <c r="CH9" s="1325"/>
      <c r="CI9" s="1325"/>
      <c r="CJ9" s="1325"/>
      <c r="CK9" s="1325"/>
      <c r="CL9" s="1325"/>
      <c r="CM9" s="1325"/>
      <c r="CN9" s="1325"/>
      <c r="CO9" s="1325"/>
      <c r="CP9" s="1325"/>
      <c r="CQ9" s="1325"/>
      <c r="CR9" s="1325"/>
      <c r="CS9" s="1325"/>
      <c r="CT9" s="1325"/>
      <c r="CU9" s="1325"/>
      <c r="CV9" s="1325"/>
      <c r="CW9" s="1325"/>
      <c r="CX9" s="1325"/>
      <c r="CY9" s="1325"/>
      <c r="CZ9" s="1325"/>
      <c r="DA9" s="1325"/>
      <c r="DB9" s="1325"/>
      <c r="DC9" s="1325"/>
      <c r="DD9" s="1325"/>
      <c r="DE9" s="1325"/>
      <c r="DF9" s="1325"/>
      <c r="DG9" s="1325"/>
      <c r="DH9" s="1325"/>
      <c r="DI9" s="1325"/>
      <c r="DJ9" s="1325"/>
      <c r="DK9" s="1325"/>
      <c r="DL9" s="1325"/>
      <c r="DM9" s="1325"/>
      <c r="DN9" s="1325"/>
      <c r="DO9" s="1325"/>
      <c r="DP9" s="1325"/>
      <c r="DQ9" s="1325"/>
      <c r="DR9" s="1325"/>
      <c r="DS9" s="1325"/>
      <c r="DT9" s="1325"/>
      <c r="DU9" s="1325"/>
      <c r="DV9" s="1325"/>
      <c r="DW9" s="1325"/>
      <c r="DX9" s="1325"/>
      <c r="DY9" s="1325"/>
      <c r="DZ9" s="1325"/>
      <c r="EA9" s="1325"/>
      <c r="EB9" s="1325"/>
      <c r="EC9" s="1325"/>
      <c r="ED9" s="1325"/>
      <c r="EE9" s="1325"/>
      <c r="EF9" s="1325"/>
      <c r="EG9" s="1325"/>
      <c r="EH9" s="1325"/>
      <c r="EI9" s="1325"/>
      <c r="EJ9" s="1325"/>
      <c r="EK9" s="1325"/>
      <c r="EL9" s="1325"/>
      <c r="EM9" s="1325"/>
      <c r="EN9" s="1325"/>
      <c r="EO9" s="1325"/>
      <c r="EP9" s="1325"/>
      <c r="EQ9" s="1325"/>
      <c r="ER9" s="1325"/>
      <c r="ES9" s="1325"/>
      <c r="ET9" s="1325"/>
      <c r="EU9" s="1325"/>
      <c r="EV9" s="1325"/>
      <c r="EW9" s="1325"/>
      <c r="EX9" s="1325"/>
      <c r="EY9" s="1325"/>
      <c r="EZ9" s="1325"/>
      <c r="FA9" s="1325"/>
      <c r="FB9" s="1325"/>
      <c r="FC9" s="1325"/>
      <c r="FD9" s="1325"/>
      <c r="FE9" s="1325"/>
      <c r="FF9" s="1325"/>
      <c r="FG9" s="1325"/>
      <c r="FH9" s="1325"/>
      <c r="FI9" s="1325"/>
      <c r="FJ9" s="1325"/>
      <c r="FK9" s="1325"/>
      <c r="FL9" s="1325"/>
      <c r="FM9" s="1325"/>
      <c r="FN9" s="1325"/>
      <c r="FO9" s="1325"/>
      <c r="FP9" s="1325"/>
      <c r="FQ9" s="1325"/>
      <c r="FR9" s="1325"/>
      <c r="FS9" s="1325"/>
      <c r="FT9" s="1325"/>
      <c r="FU9" s="1325"/>
      <c r="FV9" s="1325"/>
      <c r="FW9" s="1325"/>
      <c r="FX9" s="1325"/>
      <c r="FY9" s="1325"/>
      <c r="FZ9" s="1325"/>
      <c r="GA9" s="1325"/>
      <c r="GB9" s="1325"/>
      <c r="GC9" s="1325"/>
      <c r="GD9" s="1325"/>
      <c r="GE9" s="1325"/>
      <c r="GF9" s="1325"/>
      <c r="GG9" s="1325"/>
      <c r="GH9" s="1325"/>
      <c r="GI9" s="1325"/>
      <c r="GJ9" s="1325"/>
      <c r="GK9" s="1325"/>
      <c r="GL9" s="1325"/>
      <c r="GM9" s="1325"/>
      <c r="GN9" s="1325"/>
      <c r="GO9" s="1325"/>
      <c r="GP9" s="1325"/>
      <c r="GQ9" s="1325"/>
      <c r="GR9" s="1325"/>
      <c r="GS9" s="1325"/>
      <c r="GT9" s="1325"/>
      <c r="GU9" s="1325"/>
      <c r="GV9" s="1325"/>
      <c r="GW9" s="1325"/>
      <c r="GX9" s="1325"/>
      <c r="GY9" s="1325"/>
      <c r="GZ9" s="1325"/>
      <c r="HA9" s="1325"/>
      <c r="HB9" s="1325"/>
      <c r="HC9" s="1325"/>
      <c r="HD9" s="1325"/>
      <c r="HE9" s="1325"/>
      <c r="HF9" s="1325"/>
      <c r="HG9" s="1325"/>
      <c r="HH9" s="1325"/>
      <c r="HI9" s="1325"/>
      <c r="HJ9" s="1325"/>
      <c r="HK9" s="1325"/>
      <c r="HL9" s="1325"/>
      <c r="HM9" s="1325"/>
      <c r="HN9" s="1325"/>
      <c r="HO9" s="1325"/>
      <c r="HP9" s="1325"/>
      <c r="HQ9" s="1325"/>
      <c r="HR9" s="1325"/>
      <c r="HS9" s="1325"/>
      <c r="HT9" s="1325"/>
      <c r="HU9" s="1325"/>
      <c r="HV9" s="1325"/>
      <c r="HW9" s="1325"/>
      <c r="HX9" s="1325"/>
      <c r="HY9" s="1325"/>
      <c r="HZ9" s="1325"/>
      <c r="IA9" s="1325"/>
      <c r="IB9" s="1325"/>
      <c r="IC9" s="1325"/>
      <c r="ID9" s="1325"/>
      <c r="IE9" s="1325"/>
      <c r="IF9" s="1325"/>
      <c r="IG9" s="1325"/>
      <c r="IH9" s="1325"/>
      <c r="II9" s="1325"/>
      <c r="IJ9" s="1325"/>
      <c r="IK9" s="1325"/>
      <c r="IL9" s="1325"/>
      <c r="IM9" s="1325"/>
      <c r="IN9" s="1325"/>
      <c r="IO9" s="1325"/>
      <c r="IP9" s="1325"/>
      <c r="IQ9" s="1325"/>
      <c r="IR9" s="1325"/>
      <c r="IS9" s="1325"/>
      <c r="IT9" s="1325"/>
      <c r="IU9" s="1325"/>
      <c r="IV9" s="1325"/>
    </row>
    <row r="10" spans="1:256" ht="15.75">
      <c r="A10" s="1326" t="s">
        <v>776</v>
      </c>
      <c r="B10" s="1327" t="s">
        <v>777</v>
      </c>
      <c r="C10" s="1328">
        <f>16857955+32390+7892898</f>
        <v>24783243</v>
      </c>
      <c r="D10" s="1328">
        <v>3083204</v>
      </c>
      <c r="E10" s="1325"/>
      <c r="F10" s="1325"/>
      <c r="G10" s="1325"/>
      <c r="H10" s="1325"/>
      <c r="I10" s="1325"/>
      <c r="J10" s="1325"/>
      <c r="K10" s="1325"/>
      <c r="L10" s="1325"/>
      <c r="M10" s="1325"/>
      <c r="N10" s="1325"/>
      <c r="O10" s="1325"/>
      <c r="P10" s="1325"/>
      <c r="Q10" s="1325"/>
      <c r="R10" s="1325"/>
      <c r="S10" s="1325"/>
      <c r="T10" s="1325"/>
      <c r="U10" s="1325"/>
      <c r="V10" s="1325"/>
      <c r="W10" s="1325"/>
      <c r="X10" s="1325"/>
      <c r="Y10" s="1325"/>
      <c r="Z10" s="1325"/>
      <c r="AA10" s="1325"/>
      <c r="AB10" s="1325"/>
      <c r="AC10" s="1325"/>
      <c r="AD10" s="1325"/>
      <c r="AE10" s="1325"/>
      <c r="AF10" s="1325"/>
      <c r="AG10" s="1325"/>
      <c r="AH10" s="1325"/>
      <c r="AI10" s="1325"/>
      <c r="AJ10" s="1325"/>
      <c r="AK10" s="1325"/>
      <c r="AL10" s="1325"/>
      <c r="AM10" s="1325"/>
      <c r="AN10" s="1325"/>
      <c r="AO10" s="1325"/>
      <c r="AP10" s="1325"/>
      <c r="AQ10" s="1325"/>
      <c r="AR10" s="1325"/>
      <c r="AS10" s="1325"/>
      <c r="AT10" s="1325"/>
      <c r="AU10" s="1325"/>
      <c r="AV10" s="1325"/>
      <c r="AW10" s="1325"/>
      <c r="AX10" s="1325"/>
      <c r="AY10" s="1325"/>
      <c r="AZ10" s="1325"/>
      <c r="BA10" s="1325"/>
      <c r="BB10" s="1325"/>
      <c r="BC10" s="1325"/>
      <c r="BD10" s="1325"/>
      <c r="BE10" s="1325"/>
      <c r="BF10" s="1325"/>
      <c r="BG10" s="1325"/>
      <c r="BH10" s="1325"/>
      <c r="BI10" s="1325"/>
      <c r="BJ10" s="1325"/>
      <c r="BK10" s="1325"/>
      <c r="BL10" s="1325"/>
      <c r="BM10" s="1325"/>
      <c r="BN10" s="1325"/>
      <c r="BO10" s="1325"/>
      <c r="BP10" s="1325"/>
      <c r="BQ10" s="1325"/>
      <c r="BR10" s="1325"/>
      <c r="BS10" s="1325"/>
      <c r="BT10" s="1325"/>
      <c r="BU10" s="1325"/>
      <c r="BV10" s="1325"/>
      <c r="BW10" s="1325"/>
      <c r="BX10" s="1325"/>
      <c r="BY10" s="1325"/>
      <c r="BZ10" s="1325"/>
      <c r="CA10" s="1325"/>
      <c r="CB10" s="1325"/>
      <c r="CC10" s="1325"/>
      <c r="CD10" s="1325"/>
      <c r="CE10" s="1325"/>
      <c r="CF10" s="1325"/>
      <c r="CG10" s="1325"/>
      <c r="CH10" s="1325"/>
      <c r="CI10" s="1325"/>
      <c r="CJ10" s="1325"/>
      <c r="CK10" s="1325"/>
      <c r="CL10" s="1325"/>
      <c r="CM10" s="1325"/>
      <c r="CN10" s="1325"/>
      <c r="CO10" s="1325"/>
      <c r="CP10" s="1325"/>
      <c r="CQ10" s="1325"/>
      <c r="CR10" s="1325"/>
      <c r="CS10" s="1325"/>
      <c r="CT10" s="1325"/>
      <c r="CU10" s="1325"/>
      <c r="CV10" s="1325"/>
      <c r="CW10" s="1325"/>
      <c r="CX10" s="1325"/>
      <c r="CY10" s="1325"/>
      <c r="CZ10" s="1325"/>
      <c r="DA10" s="1325"/>
      <c r="DB10" s="1325"/>
      <c r="DC10" s="1325"/>
      <c r="DD10" s="1325"/>
      <c r="DE10" s="1325"/>
      <c r="DF10" s="1325"/>
      <c r="DG10" s="1325"/>
      <c r="DH10" s="1325"/>
      <c r="DI10" s="1325"/>
      <c r="DJ10" s="1325"/>
      <c r="DK10" s="1325"/>
      <c r="DL10" s="1325"/>
      <c r="DM10" s="1325"/>
      <c r="DN10" s="1325"/>
      <c r="DO10" s="1325"/>
      <c r="DP10" s="1325"/>
      <c r="DQ10" s="1325"/>
      <c r="DR10" s="1325"/>
      <c r="DS10" s="1325"/>
      <c r="DT10" s="1325"/>
      <c r="DU10" s="1325"/>
      <c r="DV10" s="1325"/>
      <c r="DW10" s="1325"/>
      <c r="DX10" s="1325"/>
      <c r="DY10" s="1325"/>
      <c r="DZ10" s="1325"/>
      <c r="EA10" s="1325"/>
      <c r="EB10" s="1325"/>
      <c r="EC10" s="1325"/>
      <c r="ED10" s="1325"/>
      <c r="EE10" s="1325"/>
      <c r="EF10" s="1325"/>
      <c r="EG10" s="1325"/>
      <c r="EH10" s="1325"/>
      <c r="EI10" s="1325"/>
      <c r="EJ10" s="1325"/>
      <c r="EK10" s="1325"/>
      <c r="EL10" s="1325"/>
      <c r="EM10" s="1325"/>
      <c r="EN10" s="1325"/>
      <c r="EO10" s="1325"/>
      <c r="EP10" s="1325"/>
      <c r="EQ10" s="1325"/>
      <c r="ER10" s="1325"/>
      <c r="ES10" s="1325"/>
      <c r="ET10" s="1325"/>
      <c r="EU10" s="1325"/>
      <c r="EV10" s="1325"/>
      <c r="EW10" s="1325"/>
      <c r="EX10" s="1325"/>
      <c r="EY10" s="1325"/>
      <c r="EZ10" s="1325"/>
      <c r="FA10" s="1325"/>
      <c r="FB10" s="1325"/>
      <c r="FC10" s="1325"/>
      <c r="FD10" s="1325"/>
      <c r="FE10" s="1325"/>
      <c r="FF10" s="1325"/>
      <c r="FG10" s="1325"/>
      <c r="FH10" s="1325"/>
      <c r="FI10" s="1325"/>
      <c r="FJ10" s="1325"/>
      <c r="FK10" s="1325"/>
      <c r="FL10" s="1325"/>
      <c r="FM10" s="1325"/>
      <c r="FN10" s="1325"/>
      <c r="FO10" s="1325"/>
      <c r="FP10" s="1325"/>
      <c r="FQ10" s="1325"/>
      <c r="FR10" s="1325"/>
      <c r="FS10" s="1325"/>
      <c r="FT10" s="1325"/>
      <c r="FU10" s="1325"/>
      <c r="FV10" s="1325"/>
      <c r="FW10" s="1325"/>
      <c r="FX10" s="1325"/>
      <c r="FY10" s="1325"/>
      <c r="FZ10" s="1325"/>
      <c r="GA10" s="1325"/>
      <c r="GB10" s="1325"/>
      <c r="GC10" s="1325"/>
      <c r="GD10" s="1325"/>
      <c r="GE10" s="1325"/>
      <c r="GF10" s="1325"/>
      <c r="GG10" s="1325"/>
      <c r="GH10" s="1325"/>
      <c r="GI10" s="1325"/>
      <c r="GJ10" s="1325"/>
      <c r="GK10" s="1325"/>
      <c r="GL10" s="1325"/>
      <c r="GM10" s="1325"/>
      <c r="GN10" s="1325"/>
      <c r="GO10" s="1325"/>
      <c r="GP10" s="1325"/>
      <c r="GQ10" s="1325"/>
      <c r="GR10" s="1325"/>
      <c r="GS10" s="1325"/>
      <c r="GT10" s="1325"/>
      <c r="GU10" s="1325"/>
      <c r="GV10" s="1325"/>
      <c r="GW10" s="1325"/>
      <c r="GX10" s="1325"/>
      <c r="GY10" s="1325"/>
      <c r="GZ10" s="1325"/>
      <c r="HA10" s="1325"/>
      <c r="HB10" s="1325"/>
      <c r="HC10" s="1325"/>
      <c r="HD10" s="1325"/>
      <c r="HE10" s="1325"/>
      <c r="HF10" s="1325"/>
      <c r="HG10" s="1325"/>
      <c r="HH10" s="1325"/>
      <c r="HI10" s="1325"/>
      <c r="HJ10" s="1325"/>
      <c r="HK10" s="1325"/>
      <c r="HL10" s="1325"/>
      <c r="HM10" s="1325"/>
      <c r="HN10" s="1325"/>
      <c r="HO10" s="1325"/>
      <c r="HP10" s="1325"/>
      <c r="HQ10" s="1325"/>
      <c r="HR10" s="1325"/>
      <c r="HS10" s="1325"/>
      <c r="HT10" s="1325"/>
      <c r="HU10" s="1325"/>
      <c r="HV10" s="1325"/>
      <c r="HW10" s="1325"/>
      <c r="HX10" s="1325"/>
      <c r="HY10" s="1325"/>
      <c r="HZ10" s="1325"/>
      <c r="IA10" s="1325"/>
      <c r="IB10" s="1325"/>
      <c r="IC10" s="1325"/>
      <c r="ID10" s="1325"/>
      <c r="IE10" s="1325"/>
      <c r="IF10" s="1325"/>
      <c r="IG10" s="1325"/>
      <c r="IH10" s="1325"/>
      <c r="II10" s="1325"/>
      <c r="IJ10" s="1325"/>
      <c r="IK10" s="1325"/>
      <c r="IL10" s="1325"/>
      <c r="IM10" s="1325"/>
      <c r="IN10" s="1325"/>
      <c r="IO10" s="1325"/>
      <c r="IP10" s="1325"/>
      <c r="IQ10" s="1325"/>
      <c r="IR10" s="1325"/>
      <c r="IS10" s="1325"/>
      <c r="IT10" s="1325"/>
      <c r="IU10" s="1325"/>
      <c r="IV10" s="1325"/>
    </row>
    <row r="11" spans="1:256" ht="15.75">
      <c r="A11" s="1326" t="s">
        <v>778</v>
      </c>
      <c r="B11" s="1327" t="s">
        <v>779</v>
      </c>
      <c r="C11" s="1328">
        <v>6362500</v>
      </c>
      <c r="D11" s="1328">
        <f>+C11-6362500</f>
        <v>0</v>
      </c>
      <c r="E11" s="1325"/>
      <c r="F11" s="1325"/>
      <c r="G11" s="1325"/>
      <c r="H11" s="1325"/>
      <c r="I11" s="1325"/>
      <c r="J11" s="1325"/>
      <c r="K11" s="1325"/>
      <c r="L11" s="1325"/>
      <c r="M11" s="1325"/>
      <c r="N11" s="1325"/>
      <c r="O11" s="1325"/>
      <c r="P11" s="1325"/>
      <c r="Q11" s="1325"/>
      <c r="R11" s="1325"/>
      <c r="S11" s="1325"/>
      <c r="T11" s="1325"/>
      <c r="U11" s="1325"/>
      <c r="V11" s="1325"/>
      <c r="W11" s="1325"/>
      <c r="X11" s="1325"/>
      <c r="Y11" s="1325"/>
      <c r="Z11" s="1325"/>
      <c r="AA11" s="1325"/>
      <c r="AB11" s="1325"/>
      <c r="AC11" s="1325"/>
      <c r="AD11" s="1325"/>
      <c r="AE11" s="1325"/>
      <c r="AF11" s="1325"/>
      <c r="AG11" s="1325"/>
      <c r="AH11" s="1325"/>
      <c r="AI11" s="1325"/>
      <c r="AJ11" s="1325"/>
      <c r="AK11" s="1325"/>
      <c r="AL11" s="1325"/>
      <c r="AM11" s="1325"/>
      <c r="AN11" s="1325"/>
      <c r="AO11" s="1325"/>
      <c r="AP11" s="1325"/>
      <c r="AQ11" s="1325"/>
      <c r="AR11" s="1325"/>
      <c r="AS11" s="1325"/>
      <c r="AT11" s="1325"/>
      <c r="AU11" s="1325"/>
      <c r="AV11" s="1325"/>
      <c r="AW11" s="1325"/>
      <c r="AX11" s="1325"/>
      <c r="AY11" s="1325"/>
      <c r="AZ11" s="1325"/>
      <c r="BA11" s="1325"/>
      <c r="BB11" s="1325"/>
      <c r="BC11" s="1325"/>
      <c r="BD11" s="1325"/>
      <c r="BE11" s="1325"/>
      <c r="BF11" s="1325"/>
      <c r="BG11" s="1325"/>
      <c r="BH11" s="1325"/>
      <c r="BI11" s="1325"/>
      <c r="BJ11" s="1325"/>
      <c r="BK11" s="1325"/>
      <c r="BL11" s="1325"/>
      <c r="BM11" s="1325"/>
      <c r="BN11" s="1325"/>
      <c r="BO11" s="1325"/>
      <c r="BP11" s="1325"/>
      <c r="BQ11" s="1325"/>
      <c r="BR11" s="1325"/>
      <c r="BS11" s="1325"/>
      <c r="BT11" s="1325"/>
      <c r="BU11" s="1325"/>
      <c r="BV11" s="1325"/>
      <c r="BW11" s="1325"/>
      <c r="BX11" s="1325"/>
      <c r="BY11" s="1325"/>
      <c r="BZ11" s="1325"/>
      <c r="CA11" s="1325"/>
      <c r="CB11" s="1325"/>
      <c r="CC11" s="1325"/>
      <c r="CD11" s="1325"/>
      <c r="CE11" s="1325"/>
      <c r="CF11" s="1325"/>
      <c r="CG11" s="1325"/>
      <c r="CH11" s="1325"/>
      <c r="CI11" s="1325"/>
      <c r="CJ11" s="1325"/>
      <c r="CK11" s="1325"/>
      <c r="CL11" s="1325"/>
      <c r="CM11" s="1325"/>
      <c r="CN11" s="1325"/>
      <c r="CO11" s="1325"/>
      <c r="CP11" s="1325"/>
      <c r="CQ11" s="1325"/>
      <c r="CR11" s="1325"/>
      <c r="CS11" s="1325"/>
      <c r="CT11" s="1325"/>
      <c r="CU11" s="1325"/>
      <c r="CV11" s="1325"/>
      <c r="CW11" s="1325"/>
      <c r="CX11" s="1325"/>
      <c r="CY11" s="1325"/>
      <c r="CZ11" s="1325"/>
      <c r="DA11" s="1325"/>
      <c r="DB11" s="1325"/>
      <c r="DC11" s="1325"/>
      <c r="DD11" s="1325"/>
      <c r="DE11" s="1325"/>
      <c r="DF11" s="1325"/>
      <c r="DG11" s="1325"/>
      <c r="DH11" s="1325"/>
      <c r="DI11" s="1325"/>
      <c r="DJ11" s="1325"/>
      <c r="DK11" s="1325"/>
      <c r="DL11" s="1325"/>
      <c r="DM11" s="1325"/>
      <c r="DN11" s="1325"/>
      <c r="DO11" s="1325"/>
      <c r="DP11" s="1325"/>
      <c r="DQ11" s="1325"/>
      <c r="DR11" s="1325"/>
      <c r="DS11" s="1325"/>
      <c r="DT11" s="1325"/>
      <c r="DU11" s="1325"/>
      <c r="DV11" s="1325"/>
      <c r="DW11" s="1325"/>
      <c r="DX11" s="1325"/>
      <c r="DY11" s="1325"/>
      <c r="DZ11" s="1325"/>
      <c r="EA11" s="1325"/>
      <c r="EB11" s="1325"/>
      <c r="EC11" s="1325"/>
      <c r="ED11" s="1325"/>
      <c r="EE11" s="1325"/>
      <c r="EF11" s="1325"/>
      <c r="EG11" s="1325"/>
      <c r="EH11" s="1325"/>
      <c r="EI11" s="1325"/>
      <c r="EJ11" s="1325"/>
      <c r="EK11" s="1325"/>
      <c r="EL11" s="1325"/>
      <c r="EM11" s="1325"/>
      <c r="EN11" s="1325"/>
      <c r="EO11" s="1325"/>
      <c r="EP11" s="1325"/>
      <c r="EQ11" s="1325"/>
      <c r="ER11" s="1325"/>
      <c r="ES11" s="1325"/>
      <c r="ET11" s="1325"/>
      <c r="EU11" s="1325"/>
      <c r="EV11" s="1325"/>
      <c r="EW11" s="1325"/>
      <c r="EX11" s="1325"/>
      <c r="EY11" s="1325"/>
      <c r="EZ11" s="1325"/>
      <c r="FA11" s="1325"/>
      <c r="FB11" s="1325"/>
      <c r="FC11" s="1325"/>
      <c r="FD11" s="1325"/>
      <c r="FE11" s="1325"/>
      <c r="FF11" s="1325"/>
      <c r="FG11" s="1325"/>
      <c r="FH11" s="1325"/>
      <c r="FI11" s="1325"/>
      <c r="FJ11" s="1325"/>
      <c r="FK11" s="1325"/>
      <c r="FL11" s="1325"/>
      <c r="FM11" s="1325"/>
      <c r="FN11" s="1325"/>
      <c r="FO11" s="1325"/>
      <c r="FP11" s="1325"/>
      <c r="FQ11" s="1325"/>
      <c r="FR11" s="1325"/>
      <c r="FS11" s="1325"/>
      <c r="FT11" s="1325"/>
      <c r="FU11" s="1325"/>
      <c r="FV11" s="1325"/>
      <c r="FW11" s="1325"/>
      <c r="FX11" s="1325"/>
      <c r="FY11" s="1325"/>
      <c r="FZ11" s="1325"/>
      <c r="GA11" s="1325"/>
      <c r="GB11" s="1325"/>
      <c r="GC11" s="1325"/>
      <c r="GD11" s="1325"/>
      <c r="GE11" s="1325"/>
      <c r="GF11" s="1325"/>
      <c r="GG11" s="1325"/>
      <c r="GH11" s="1325"/>
      <c r="GI11" s="1325"/>
      <c r="GJ11" s="1325"/>
      <c r="GK11" s="1325"/>
      <c r="GL11" s="1325"/>
      <c r="GM11" s="1325"/>
      <c r="GN11" s="1325"/>
      <c r="GO11" s="1325"/>
      <c r="GP11" s="1325"/>
      <c r="GQ11" s="1325"/>
      <c r="GR11" s="1325"/>
      <c r="GS11" s="1325"/>
      <c r="GT11" s="1325"/>
      <c r="GU11" s="1325"/>
      <c r="GV11" s="1325"/>
      <c r="GW11" s="1325"/>
      <c r="GX11" s="1325"/>
      <c r="GY11" s="1325"/>
      <c r="GZ11" s="1325"/>
      <c r="HA11" s="1325"/>
      <c r="HB11" s="1325"/>
      <c r="HC11" s="1325"/>
      <c r="HD11" s="1325"/>
      <c r="HE11" s="1325"/>
      <c r="HF11" s="1325"/>
      <c r="HG11" s="1325"/>
      <c r="HH11" s="1325"/>
      <c r="HI11" s="1325"/>
      <c r="HJ11" s="1325"/>
      <c r="HK11" s="1325"/>
      <c r="HL11" s="1325"/>
      <c r="HM11" s="1325"/>
      <c r="HN11" s="1325"/>
      <c r="HO11" s="1325"/>
      <c r="HP11" s="1325"/>
      <c r="HQ11" s="1325"/>
      <c r="HR11" s="1325"/>
      <c r="HS11" s="1325"/>
      <c r="HT11" s="1325"/>
      <c r="HU11" s="1325"/>
      <c r="HV11" s="1325"/>
      <c r="HW11" s="1325"/>
      <c r="HX11" s="1325"/>
      <c r="HY11" s="1325"/>
      <c r="HZ11" s="1325"/>
      <c r="IA11" s="1325"/>
      <c r="IB11" s="1325"/>
      <c r="IC11" s="1325"/>
      <c r="ID11" s="1325"/>
      <c r="IE11" s="1325"/>
      <c r="IF11" s="1325"/>
      <c r="IG11" s="1325"/>
      <c r="IH11" s="1325"/>
      <c r="II11" s="1325"/>
      <c r="IJ11" s="1325"/>
      <c r="IK11" s="1325"/>
      <c r="IL11" s="1325"/>
      <c r="IM11" s="1325"/>
      <c r="IN11" s="1325"/>
      <c r="IO11" s="1325"/>
      <c r="IP11" s="1325"/>
      <c r="IQ11" s="1325"/>
      <c r="IR11" s="1325"/>
      <c r="IS11" s="1325"/>
      <c r="IT11" s="1325"/>
      <c r="IU11" s="1325"/>
      <c r="IV11" s="1325"/>
    </row>
    <row r="12" spans="1:256" ht="15.75">
      <c r="A12" s="1329" t="s">
        <v>780</v>
      </c>
      <c r="B12" s="1330" t="s">
        <v>781</v>
      </c>
      <c r="C12" s="1331">
        <f>SUM(C13+C18+C23+C28+C33)</f>
        <v>1745441171</v>
      </c>
      <c r="D12" s="1331">
        <f>SUM(D13+D18+D23+D28+D33)</f>
        <v>1292930919</v>
      </c>
      <c r="E12" s="1325"/>
      <c r="F12" s="1325"/>
      <c r="G12" s="1325"/>
      <c r="H12" s="1325"/>
      <c r="I12" s="1325"/>
      <c r="J12" s="1325"/>
      <c r="K12" s="1325"/>
      <c r="L12" s="1325"/>
      <c r="M12" s="1325"/>
      <c r="N12" s="1325"/>
      <c r="O12" s="1325"/>
      <c r="P12" s="1325"/>
      <c r="Q12" s="1325"/>
      <c r="R12" s="1325"/>
      <c r="S12" s="1325"/>
      <c r="T12" s="1325"/>
      <c r="U12" s="1325"/>
      <c r="V12" s="1325"/>
      <c r="W12" s="1325"/>
      <c r="X12" s="1325"/>
      <c r="Y12" s="1325"/>
      <c r="Z12" s="1325"/>
      <c r="AA12" s="1325"/>
      <c r="AB12" s="1325"/>
      <c r="AC12" s="1325"/>
      <c r="AD12" s="1325"/>
      <c r="AE12" s="1325"/>
      <c r="AF12" s="1325"/>
      <c r="AG12" s="1325"/>
      <c r="AH12" s="1325"/>
      <c r="AI12" s="1325"/>
      <c r="AJ12" s="1325"/>
      <c r="AK12" s="1325"/>
      <c r="AL12" s="1325"/>
      <c r="AM12" s="1325"/>
      <c r="AN12" s="1325"/>
      <c r="AO12" s="1325"/>
      <c r="AP12" s="1325"/>
      <c r="AQ12" s="1325"/>
      <c r="AR12" s="1325"/>
      <c r="AS12" s="1325"/>
      <c r="AT12" s="1325"/>
      <c r="AU12" s="1325"/>
      <c r="AV12" s="1325"/>
      <c r="AW12" s="1325"/>
      <c r="AX12" s="1325"/>
      <c r="AY12" s="1325"/>
      <c r="AZ12" s="1325"/>
      <c r="BA12" s="1325"/>
      <c r="BB12" s="1325"/>
      <c r="BC12" s="1325"/>
      <c r="BD12" s="1325"/>
      <c r="BE12" s="1325"/>
      <c r="BF12" s="1325"/>
      <c r="BG12" s="1325"/>
      <c r="BH12" s="1325"/>
      <c r="BI12" s="1325"/>
      <c r="BJ12" s="1325"/>
      <c r="BK12" s="1325"/>
      <c r="BL12" s="1325"/>
      <c r="BM12" s="1325"/>
      <c r="BN12" s="1325"/>
      <c r="BO12" s="1325"/>
      <c r="BP12" s="1325"/>
      <c r="BQ12" s="1325"/>
      <c r="BR12" s="1325"/>
      <c r="BS12" s="1325"/>
      <c r="BT12" s="1325"/>
      <c r="BU12" s="1325"/>
      <c r="BV12" s="1325"/>
      <c r="BW12" s="1325"/>
      <c r="BX12" s="1325"/>
      <c r="BY12" s="1325"/>
      <c r="BZ12" s="1325"/>
      <c r="CA12" s="1325"/>
      <c r="CB12" s="1325"/>
      <c r="CC12" s="1325"/>
      <c r="CD12" s="1325"/>
      <c r="CE12" s="1325"/>
      <c r="CF12" s="1325"/>
      <c r="CG12" s="1325"/>
      <c r="CH12" s="1325"/>
      <c r="CI12" s="1325"/>
      <c r="CJ12" s="1325"/>
      <c r="CK12" s="1325"/>
      <c r="CL12" s="1325"/>
      <c r="CM12" s="1325"/>
      <c r="CN12" s="1325"/>
      <c r="CO12" s="1325"/>
      <c r="CP12" s="1325"/>
      <c r="CQ12" s="1325"/>
      <c r="CR12" s="1325"/>
      <c r="CS12" s="1325"/>
      <c r="CT12" s="1325"/>
      <c r="CU12" s="1325"/>
      <c r="CV12" s="1325"/>
      <c r="CW12" s="1325"/>
      <c r="CX12" s="1325"/>
      <c r="CY12" s="1325"/>
      <c r="CZ12" s="1325"/>
      <c r="DA12" s="1325"/>
      <c r="DB12" s="1325"/>
      <c r="DC12" s="1325"/>
      <c r="DD12" s="1325"/>
      <c r="DE12" s="1325"/>
      <c r="DF12" s="1325"/>
      <c r="DG12" s="1325"/>
      <c r="DH12" s="1325"/>
      <c r="DI12" s="1325"/>
      <c r="DJ12" s="1325"/>
      <c r="DK12" s="1325"/>
      <c r="DL12" s="1325"/>
      <c r="DM12" s="1325"/>
      <c r="DN12" s="1325"/>
      <c r="DO12" s="1325"/>
      <c r="DP12" s="1325"/>
      <c r="DQ12" s="1325"/>
      <c r="DR12" s="1325"/>
      <c r="DS12" s="1325"/>
      <c r="DT12" s="1325"/>
      <c r="DU12" s="1325"/>
      <c r="DV12" s="1325"/>
      <c r="DW12" s="1325"/>
      <c r="DX12" s="1325"/>
      <c r="DY12" s="1325"/>
      <c r="DZ12" s="1325"/>
      <c r="EA12" s="1325"/>
      <c r="EB12" s="1325"/>
      <c r="EC12" s="1325"/>
      <c r="ED12" s="1325"/>
      <c r="EE12" s="1325"/>
      <c r="EF12" s="1325"/>
      <c r="EG12" s="1325"/>
      <c r="EH12" s="1325"/>
      <c r="EI12" s="1325"/>
      <c r="EJ12" s="1325"/>
      <c r="EK12" s="1325"/>
      <c r="EL12" s="1325"/>
      <c r="EM12" s="1325"/>
      <c r="EN12" s="1325"/>
      <c r="EO12" s="1325"/>
      <c r="EP12" s="1325"/>
      <c r="EQ12" s="1325"/>
      <c r="ER12" s="1325"/>
      <c r="ES12" s="1325"/>
      <c r="ET12" s="1325"/>
      <c r="EU12" s="1325"/>
      <c r="EV12" s="1325"/>
      <c r="EW12" s="1325"/>
      <c r="EX12" s="1325"/>
      <c r="EY12" s="1325"/>
      <c r="EZ12" s="1325"/>
      <c r="FA12" s="1325"/>
      <c r="FB12" s="1325"/>
      <c r="FC12" s="1325"/>
      <c r="FD12" s="1325"/>
      <c r="FE12" s="1325"/>
      <c r="FF12" s="1325"/>
      <c r="FG12" s="1325"/>
      <c r="FH12" s="1325"/>
      <c r="FI12" s="1325"/>
      <c r="FJ12" s="1325"/>
      <c r="FK12" s="1325"/>
      <c r="FL12" s="1325"/>
      <c r="FM12" s="1325"/>
      <c r="FN12" s="1325"/>
      <c r="FO12" s="1325"/>
      <c r="FP12" s="1325"/>
      <c r="FQ12" s="1325"/>
      <c r="FR12" s="1325"/>
      <c r="FS12" s="1325"/>
      <c r="FT12" s="1325"/>
      <c r="FU12" s="1325"/>
      <c r="FV12" s="1325"/>
      <c r="FW12" s="1325"/>
      <c r="FX12" s="1325"/>
      <c r="FY12" s="1325"/>
      <c r="FZ12" s="1325"/>
      <c r="GA12" s="1325"/>
      <c r="GB12" s="1325"/>
      <c r="GC12" s="1325"/>
      <c r="GD12" s="1325"/>
      <c r="GE12" s="1325"/>
      <c r="GF12" s="1325"/>
      <c r="GG12" s="1325"/>
      <c r="GH12" s="1325"/>
      <c r="GI12" s="1325"/>
      <c r="GJ12" s="1325"/>
      <c r="GK12" s="1325"/>
      <c r="GL12" s="1325"/>
      <c r="GM12" s="1325"/>
      <c r="GN12" s="1325"/>
      <c r="GO12" s="1325"/>
      <c r="GP12" s="1325"/>
      <c r="GQ12" s="1325"/>
      <c r="GR12" s="1325"/>
      <c r="GS12" s="1325"/>
      <c r="GT12" s="1325"/>
      <c r="GU12" s="1325"/>
      <c r="GV12" s="1325"/>
      <c r="GW12" s="1325"/>
      <c r="GX12" s="1325"/>
      <c r="GY12" s="1325"/>
      <c r="GZ12" s="1325"/>
      <c r="HA12" s="1325"/>
      <c r="HB12" s="1325"/>
      <c r="HC12" s="1325"/>
      <c r="HD12" s="1325"/>
      <c r="HE12" s="1325"/>
      <c r="HF12" s="1325"/>
      <c r="HG12" s="1325"/>
      <c r="HH12" s="1325"/>
      <c r="HI12" s="1325"/>
      <c r="HJ12" s="1325"/>
      <c r="HK12" s="1325"/>
      <c r="HL12" s="1325"/>
      <c r="HM12" s="1325"/>
      <c r="HN12" s="1325"/>
      <c r="HO12" s="1325"/>
      <c r="HP12" s="1325"/>
      <c r="HQ12" s="1325"/>
      <c r="HR12" s="1325"/>
      <c r="HS12" s="1325"/>
      <c r="HT12" s="1325"/>
      <c r="HU12" s="1325"/>
      <c r="HV12" s="1325"/>
      <c r="HW12" s="1325"/>
      <c r="HX12" s="1325"/>
      <c r="HY12" s="1325"/>
      <c r="HZ12" s="1325"/>
      <c r="IA12" s="1325"/>
      <c r="IB12" s="1325"/>
      <c r="IC12" s="1325"/>
      <c r="ID12" s="1325"/>
      <c r="IE12" s="1325"/>
      <c r="IF12" s="1325"/>
      <c r="IG12" s="1325"/>
      <c r="IH12" s="1325"/>
      <c r="II12" s="1325"/>
      <c r="IJ12" s="1325"/>
      <c r="IK12" s="1325"/>
      <c r="IL12" s="1325"/>
      <c r="IM12" s="1325"/>
      <c r="IN12" s="1325"/>
      <c r="IO12" s="1325"/>
      <c r="IP12" s="1325"/>
      <c r="IQ12" s="1325"/>
      <c r="IR12" s="1325"/>
      <c r="IS12" s="1325"/>
      <c r="IT12" s="1325"/>
      <c r="IU12" s="1325"/>
      <c r="IV12" s="1325"/>
    </row>
    <row r="13" spans="1:256" ht="15.75">
      <c r="A13" s="1329" t="s">
        <v>782</v>
      </c>
      <c r="B13" s="1330" t="s">
        <v>783</v>
      </c>
      <c r="C13" s="1331">
        <f>SUM(C14:C17)</f>
        <v>1635165832</v>
      </c>
      <c r="D13" s="1331">
        <f>SUM(D14:D17)</f>
        <v>1243382950</v>
      </c>
      <c r="E13" s="1325"/>
      <c r="F13" s="1325"/>
      <c r="G13" s="1325"/>
      <c r="H13" s="1325"/>
      <c r="I13" s="1325"/>
      <c r="J13" s="1325"/>
      <c r="K13" s="1325"/>
      <c r="L13" s="1325"/>
      <c r="M13" s="1325"/>
      <c r="N13" s="1325"/>
      <c r="O13" s="1325"/>
      <c r="P13" s="1325"/>
      <c r="Q13" s="1325"/>
      <c r="R13" s="1325"/>
      <c r="S13" s="1325"/>
      <c r="T13" s="1325"/>
      <c r="U13" s="1325"/>
      <c r="V13" s="1325"/>
      <c r="W13" s="1325"/>
      <c r="X13" s="1325"/>
      <c r="Y13" s="1325"/>
      <c r="Z13" s="1325"/>
      <c r="AA13" s="1325"/>
      <c r="AB13" s="1325"/>
      <c r="AC13" s="1325"/>
      <c r="AD13" s="1325"/>
      <c r="AE13" s="1325"/>
      <c r="AF13" s="1325"/>
      <c r="AG13" s="1325"/>
      <c r="AH13" s="1325"/>
      <c r="AI13" s="1325"/>
      <c r="AJ13" s="1325"/>
      <c r="AK13" s="1325"/>
      <c r="AL13" s="1325"/>
      <c r="AM13" s="1325"/>
      <c r="AN13" s="1325"/>
      <c r="AO13" s="1325"/>
      <c r="AP13" s="1325"/>
      <c r="AQ13" s="1325"/>
      <c r="AR13" s="1325"/>
      <c r="AS13" s="1325"/>
      <c r="AT13" s="1325"/>
      <c r="AU13" s="1325"/>
      <c r="AV13" s="1325"/>
      <c r="AW13" s="1325"/>
      <c r="AX13" s="1325"/>
      <c r="AY13" s="1325"/>
      <c r="AZ13" s="1325"/>
      <c r="BA13" s="1325"/>
      <c r="BB13" s="1325"/>
      <c r="BC13" s="1325"/>
      <c r="BD13" s="1325"/>
      <c r="BE13" s="1325"/>
      <c r="BF13" s="1325"/>
      <c r="BG13" s="1325"/>
      <c r="BH13" s="1325"/>
      <c r="BI13" s="1325"/>
      <c r="BJ13" s="1325"/>
      <c r="BK13" s="1325"/>
      <c r="BL13" s="1325"/>
      <c r="BM13" s="1325"/>
      <c r="BN13" s="1325"/>
      <c r="BO13" s="1325"/>
      <c r="BP13" s="1325"/>
      <c r="BQ13" s="1325"/>
      <c r="BR13" s="1325"/>
      <c r="BS13" s="1325"/>
      <c r="BT13" s="1325"/>
      <c r="BU13" s="1325"/>
      <c r="BV13" s="1325"/>
      <c r="BW13" s="1325"/>
      <c r="BX13" s="1325"/>
      <c r="BY13" s="1325"/>
      <c r="BZ13" s="1325"/>
      <c r="CA13" s="1325"/>
      <c r="CB13" s="1325"/>
      <c r="CC13" s="1325"/>
      <c r="CD13" s="1325"/>
      <c r="CE13" s="1325"/>
      <c r="CF13" s="1325"/>
      <c r="CG13" s="1325"/>
      <c r="CH13" s="1325"/>
      <c r="CI13" s="1325"/>
      <c r="CJ13" s="1325"/>
      <c r="CK13" s="1325"/>
      <c r="CL13" s="1325"/>
      <c r="CM13" s="1325"/>
      <c r="CN13" s="1325"/>
      <c r="CO13" s="1325"/>
      <c r="CP13" s="1325"/>
      <c r="CQ13" s="1325"/>
      <c r="CR13" s="1325"/>
      <c r="CS13" s="1325"/>
      <c r="CT13" s="1325"/>
      <c r="CU13" s="1325"/>
      <c r="CV13" s="1325"/>
      <c r="CW13" s="1325"/>
      <c r="CX13" s="1325"/>
      <c r="CY13" s="1325"/>
      <c r="CZ13" s="1325"/>
      <c r="DA13" s="1325"/>
      <c r="DB13" s="1325"/>
      <c r="DC13" s="1325"/>
      <c r="DD13" s="1325"/>
      <c r="DE13" s="1325"/>
      <c r="DF13" s="1325"/>
      <c r="DG13" s="1325"/>
      <c r="DH13" s="1325"/>
      <c r="DI13" s="1325"/>
      <c r="DJ13" s="1325"/>
      <c r="DK13" s="1325"/>
      <c r="DL13" s="1325"/>
      <c r="DM13" s="1325"/>
      <c r="DN13" s="1325"/>
      <c r="DO13" s="1325"/>
      <c r="DP13" s="1325"/>
      <c r="DQ13" s="1325"/>
      <c r="DR13" s="1325"/>
      <c r="DS13" s="1325"/>
      <c r="DT13" s="1325"/>
      <c r="DU13" s="1325"/>
      <c r="DV13" s="1325"/>
      <c r="DW13" s="1325"/>
      <c r="DX13" s="1325"/>
      <c r="DY13" s="1325"/>
      <c r="DZ13" s="1325"/>
      <c r="EA13" s="1325"/>
      <c r="EB13" s="1325"/>
      <c r="EC13" s="1325"/>
      <c r="ED13" s="1325"/>
      <c r="EE13" s="1325"/>
      <c r="EF13" s="1325"/>
      <c r="EG13" s="1325"/>
      <c r="EH13" s="1325"/>
      <c r="EI13" s="1325"/>
      <c r="EJ13" s="1325"/>
      <c r="EK13" s="1325"/>
      <c r="EL13" s="1325"/>
      <c r="EM13" s="1325"/>
      <c r="EN13" s="1325"/>
      <c r="EO13" s="1325"/>
      <c r="EP13" s="1325"/>
      <c r="EQ13" s="1325"/>
      <c r="ER13" s="1325"/>
      <c r="ES13" s="1325"/>
      <c r="ET13" s="1325"/>
      <c r="EU13" s="1325"/>
      <c r="EV13" s="1325"/>
      <c r="EW13" s="1325"/>
      <c r="EX13" s="1325"/>
      <c r="EY13" s="1325"/>
      <c r="EZ13" s="1325"/>
      <c r="FA13" s="1325"/>
      <c r="FB13" s="1325"/>
      <c r="FC13" s="1325"/>
      <c r="FD13" s="1325"/>
      <c r="FE13" s="1325"/>
      <c r="FF13" s="1325"/>
      <c r="FG13" s="1325"/>
      <c r="FH13" s="1325"/>
      <c r="FI13" s="1325"/>
      <c r="FJ13" s="1325"/>
      <c r="FK13" s="1325"/>
      <c r="FL13" s="1325"/>
      <c r="FM13" s="1325"/>
      <c r="FN13" s="1325"/>
      <c r="FO13" s="1325"/>
      <c r="FP13" s="1325"/>
      <c r="FQ13" s="1325"/>
      <c r="FR13" s="1325"/>
      <c r="FS13" s="1325"/>
      <c r="FT13" s="1325"/>
      <c r="FU13" s="1325"/>
      <c r="FV13" s="1325"/>
      <c r="FW13" s="1325"/>
      <c r="FX13" s="1325"/>
      <c r="FY13" s="1325"/>
      <c r="FZ13" s="1325"/>
      <c r="GA13" s="1325"/>
      <c r="GB13" s="1325"/>
      <c r="GC13" s="1325"/>
      <c r="GD13" s="1325"/>
      <c r="GE13" s="1325"/>
      <c r="GF13" s="1325"/>
      <c r="GG13" s="1325"/>
      <c r="GH13" s="1325"/>
      <c r="GI13" s="1325"/>
      <c r="GJ13" s="1325"/>
      <c r="GK13" s="1325"/>
      <c r="GL13" s="1325"/>
      <c r="GM13" s="1325"/>
      <c r="GN13" s="1325"/>
      <c r="GO13" s="1325"/>
      <c r="GP13" s="1325"/>
      <c r="GQ13" s="1325"/>
      <c r="GR13" s="1325"/>
      <c r="GS13" s="1325"/>
      <c r="GT13" s="1325"/>
      <c r="GU13" s="1325"/>
      <c r="GV13" s="1325"/>
      <c r="GW13" s="1325"/>
      <c r="GX13" s="1325"/>
      <c r="GY13" s="1325"/>
      <c r="GZ13" s="1325"/>
      <c r="HA13" s="1325"/>
      <c r="HB13" s="1325"/>
      <c r="HC13" s="1325"/>
      <c r="HD13" s="1325"/>
      <c r="HE13" s="1325"/>
      <c r="HF13" s="1325"/>
      <c r="HG13" s="1325"/>
      <c r="HH13" s="1325"/>
      <c r="HI13" s="1325"/>
      <c r="HJ13" s="1325"/>
      <c r="HK13" s="1325"/>
      <c r="HL13" s="1325"/>
      <c r="HM13" s="1325"/>
      <c r="HN13" s="1325"/>
      <c r="HO13" s="1325"/>
      <c r="HP13" s="1325"/>
      <c r="HQ13" s="1325"/>
      <c r="HR13" s="1325"/>
      <c r="HS13" s="1325"/>
      <c r="HT13" s="1325"/>
      <c r="HU13" s="1325"/>
      <c r="HV13" s="1325"/>
      <c r="HW13" s="1325"/>
      <c r="HX13" s="1325"/>
      <c r="HY13" s="1325"/>
      <c r="HZ13" s="1325"/>
      <c r="IA13" s="1325"/>
      <c r="IB13" s="1325"/>
      <c r="IC13" s="1325"/>
      <c r="ID13" s="1325"/>
      <c r="IE13" s="1325"/>
      <c r="IF13" s="1325"/>
      <c r="IG13" s="1325"/>
      <c r="IH13" s="1325"/>
      <c r="II13" s="1325"/>
      <c r="IJ13" s="1325"/>
      <c r="IK13" s="1325"/>
      <c r="IL13" s="1325"/>
      <c r="IM13" s="1325"/>
      <c r="IN13" s="1325"/>
      <c r="IO13" s="1325"/>
      <c r="IP13" s="1325"/>
      <c r="IQ13" s="1325"/>
      <c r="IR13" s="1325"/>
      <c r="IS13" s="1325"/>
      <c r="IT13" s="1325"/>
      <c r="IU13" s="1325"/>
      <c r="IV13" s="1325"/>
    </row>
    <row r="14" spans="1:256" ht="15.75">
      <c r="A14" s="1326" t="s">
        <v>784</v>
      </c>
      <c r="B14" s="1327" t="s">
        <v>785</v>
      </c>
      <c r="C14" s="1328">
        <v>837650285</v>
      </c>
      <c r="D14" s="1328">
        <v>578693960</v>
      </c>
      <c r="E14" s="1325"/>
      <c r="F14" s="1325"/>
      <c r="G14" s="1325"/>
      <c r="H14" s="1325"/>
      <c r="I14" s="1325"/>
      <c r="J14" s="1325"/>
      <c r="K14" s="1325"/>
      <c r="L14" s="1325"/>
      <c r="M14" s="1325"/>
      <c r="N14" s="1325"/>
      <c r="O14" s="1325"/>
      <c r="P14" s="1325"/>
      <c r="Q14" s="1325"/>
      <c r="R14" s="1325"/>
      <c r="S14" s="1325"/>
      <c r="T14" s="1325"/>
      <c r="U14" s="1325"/>
      <c r="V14" s="1325"/>
      <c r="W14" s="1325"/>
      <c r="X14" s="1325"/>
      <c r="Y14" s="1325"/>
      <c r="Z14" s="1325"/>
      <c r="AA14" s="1325"/>
      <c r="AB14" s="1325"/>
      <c r="AC14" s="1325"/>
      <c r="AD14" s="1325"/>
      <c r="AE14" s="1325"/>
      <c r="AF14" s="1325"/>
      <c r="AG14" s="1325"/>
      <c r="AH14" s="1325"/>
      <c r="AI14" s="1325"/>
      <c r="AJ14" s="1325"/>
      <c r="AK14" s="1325"/>
      <c r="AL14" s="1325"/>
      <c r="AM14" s="1325"/>
      <c r="AN14" s="1325"/>
      <c r="AO14" s="1325"/>
      <c r="AP14" s="1325"/>
      <c r="AQ14" s="1325"/>
      <c r="AR14" s="1325"/>
      <c r="AS14" s="1325"/>
      <c r="AT14" s="1325"/>
      <c r="AU14" s="1325"/>
      <c r="AV14" s="1325"/>
      <c r="AW14" s="1325"/>
      <c r="AX14" s="1325"/>
      <c r="AY14" s="1325"/>
      <c r="AZ14" s="1325"/>
      <c r="BA14" s="1325"/>
      <c r="BB14" s="1325"/>
      <c r="BC14" s="1325"/>
      <c r="BD14" s="1325"/>
      <c r="BE14" s="1325"/>
      <c r="BF14" s="1325"/>
      <c r="BG14" s="1325"/>
      <c r="BH14" s="1325"/>
      <c r="BI14" s="1325"/>
      <c r="BJ14" s="1325"/>
      <c r="BK14" s="1325"/>
      <c r="BL14" s="1325"/>
      <c r="BM14" s="1325"/>
      <c r="BN14" s="1325"/>
      <c r="BO14" s="1325"/>
      <c r="BP14" s="1325"/>
      <c r="BQ14" s="1325"/>
      <c r="BR14" s="1325"/>
      <c r="BS14" s="1325"/>
      <c r="BT14" s="1325"/>
      <c r="BU14" s="1325"/>
      <c r="BV14" s="1325"/>
      <c r="BW14" s="1325"/>
      <c r="BX14" s="1325"/>
      <c r="BY14" s="1325"/>
      <c r="BZ14" s="1325"/>
      <c r="CA14" s="1325"/>
      <c r="CB14" s="1325"/>
      <c r="CC14" s="1325"/>
      <c r="CD14" s="1325"/>
      <c r="CE14" s="1325"/>
      <c r="CF14" s="1325"/>
      <c r="CG14" s="1325"/>
      <c r="CH14" s="1325"/>
      <c r="CI14" s="1325"/>
      <c r="CJ14" s="1325"/>
      <c r="CK14" s="1325"/>
      <c r="CL14" s="1325"/>
      <c r="CM14" s="1325"/>
      <c r="CN14" s="1325"/>
      <c r="CO14" s="1325"/>
      <c r="CP14" s="1325"/>
      <c r="CQ14" s="1325"/>
      <c r="CR14" s="1325"/>
      <c r="CS14" s="1325"/>
      <c r="CT14" s="1325"/>
      <c r="CU14" s="1325"/>
      <c r="CV14" s="1325"/>
      <c r="CW14" s="1325"/>
      <c r="CX14" s="1325"/>
      <c r="CY14" s="1325"/>
      <c r="CZ14" s="1325"/>
      <c r="DA14" s="1325"/>
      <c r="DB14" s="1325"/>
      <c r="DC14" s="1325"/>
      <c r="DD14" s="1325"/>
      <c r="DE14" s="1325"/>
      <c r="DF14" s="1325"/>
      <c r="DG14" s="1325"/>
      <c r="DH14" s="1325"/>
      <c r="DI14" s="1325"/>
      <c r="DJ14" s="1325"/>
      <c r="DK14" s="1325"/>
      <c r="DL14" s="1325"/>
      <c r="DM14" s="1325"/>
      <c r="DN14" s="1325"/>
      <c r="DO14" s="1325"/>
      <c r="DP14" s="1325"/>
      <c r="DQ14" s="1325"/>
      <c r="DR14" s="1325"/>
      <c r="DS14" s="1325"/>
      <c r="DT14" s="1325"/>
      <c r="DU14" s="1325"/>
      <c r="DV14" s="1325"/>
      <c r="DW14" s="1325"/>
      <c r="DX14" s="1325"/>
      <c r="DY14" s="1325"/>
      <c r="DZ14" s="1325"/>
      <c r="EA14" s="1325"/>
      <c r="EB14" s="1325"/>
      <c r="EC14" s="1325"/>
      <c r="ED14" s="1325"/>
      <c r="EE14" s="1325"/>
      <c r="EF14" s="1325"/>
      <c r="EG14" s="1325"/>
      <c r="EH14" s="1325"/>
      <c r="EI14" s="1325"/>
      <c r="EJ14" s="1325"/>
      <c r="EK14" s="1325"/>
      <c r="EL14" s="1325"/>
      <c r="EM14" s="1325"/>
      <c r="EN14" s="1325"/>
      <c r="EO14" s="1325"/>
      <c r="EP14" s="1325"/>
      <c r="EQ14" s="1325"/>
      <c r="ER14" s="1325"/>
      <c r="ES14" s="1325"/>
      <c r="ET14" s="1325"/>
      <c r="EU14" s="1325"/>
      <c r="EV14" s="1325"/>
      <c r="EW14" s="1325"/>
      <c r="EX14" s="1325"/>
      <c r="EY14" s="1325"/>
      <c r="EZ14" s="1325"/>
      <c r="FA14" s="1325"/>
      <c r="FB14" s="1325"/>
      <c r="FC14" s="1325"/>
      <c r="FD14" s="1325"/>
      <c r="FE14" s="1325"/>
      <c r="FF14" s="1325"/>
      <c r="FG14" s="1325"/>
      <c r="FH14" s="1325"/>
      <c r="FI14" s="1325"/>
      <c r="FJ14" s="1325"/>
      <c r="FK14" s="1325"/>
      <c r="FL14" s="1325"/>
      <c r="FM14" s="1325"/>
      <c r="FN14" s="1325"/>
      <c r="FO14" s="1325"/>
      <c r="FP14" s="1325"/>
      <c r="FQ14" s="1325"/>
      <c r="FR14" s="1325"/>
      <c r="FS14" s="1325"/>
      <c r="FT14" s="1325"/>
      <c r="FU14" s="1325"/>
      <c r="FV14" s="1325"/>
      <c r="FW14" s="1325"/>
      <c r="FX14" s="1325"/>
      <c r="FY14" s="1325"/>
      <c r="FZ14" s="1325"/>
      <c r="GA14" s="1325"/>
      <c r="GB14" s="1325"/>
      <c r="GC14" s="1325"/>
      <c r="GD14" s="1325"/>
      <c r="GE14" s="1325"/>
      <c r="GF14" s="1325"/>
      <c r="GG14" s="1325"/>
      <c r="GH14" s="1325"/>
      <c r="GI14" s="1325"/>
      <c r="GJ14" s="1325"/>
      <c r="GK14" s="1325"/>
      <c r="GL14" s="1325"/>
      <c r="GM14" s="1325"/>
      <c r="GN14" s="1325"/>
      <c r="GO14" s="1325"/>
      <c r="GP14" s="1325"/>
      <c r="GQ14" s="1325"/>
      <c r="GR14" s="1325"/>
      <c r="GS14" s="1325"/>
      <c r="GT14" s="1325"/>
      <c r="GU14" s="1325"/>
      <c r="GV14" s="1325"/>
      <c r="GW14" s="1325"/>
      <c r="GX14" s="1325"/>
      <c r="GY14" s="1325"/>
      <c r="GZ14" s="1325"/>
      <c r="HA14" s="1325"/>
      <c r="HB14" s="1325"/>
      <c r="HC14" s="1325"/>
      <c r="HD14" s="1325"/>
      <c r="HE14" s="1325"/>
      <c r="HF14" s="1325"/>
      <c r="HG14" s="1325"/>
      <c r="HH14" s="1325"/>
      <c r="HI14" s="1325"/>
      <c r="HJ14" s="1325"/>
      <c r="HK14" s="1325"/>
      <c r="HL14" s="1325"/>
      <c r="HM14" s="1325"/>
      <c r="HN14" s="1325"/>
      <c r="HO14" s="1325"/>
      <c r="HP14" s="1325"/>
      <c r="HQ14" s="1325"/>
      <c r="HR14" s="1325"/>
      <c r="HS14" s="1325"/>
      <c r="HT14" s="1325"/>
      <c r="HU14" s="1325"/>
      <c r="HV14" s="1325"/>
      <c r="HW14" s="1325"/>
      <c r="HX14" s="1325"/>
      <c r="HY14" s="1325"/>
      <c r="HZ14" s="1325"/>
      <c r="IA14" s="1325"/>
      <c r="IB14" s="1325"/>
      <c r="IC14" s="1325"/>
      <c r="ID14" s="1325"/>
      <c r="IE14" s="1325"/>
      <c r="IF14" s="1325"/>
      <c r="IG14" s="1325"/>
      <c r="IH14" s="1325"/>
      <c r="II14" s="1325"/>
      <c r="IJ14" s="1325"/>
      <c r="IK14" s="1325"/>
      <c r="IL14" s="1325"/>
      <c r="IM14" s="1325"/>
      <c r="IN14" s="1325"/>
      <c r="IO14" s="1325"/>
      <c r="IP14" s="1325"/>
      <c r="IQ14" s="1325"/>
      <c r="IR14" s="1325"/>
      <c r="IS14" s="1325"/>
      <c r="IT14" s="1325"/>
      <c r="IU14" s="1325"/>
      <c r="IV14" s="1325"/>
    </row>
    <row r="15" spans="1:256" ht="38.25">
      <c r="A15" s="1326" t="s">
        <v>786</v>
      </c>
      <c r="B15" s="1327" t="s">
        <v>787</v>
      </c>
      <c r="C15" s="1328">
        <v>23000</v>
      </c>
      <c r="D15" s="1328">
        <f>+C15</f>
        <v>23000</v>
      </c>
      <c r="E15" s="1325"/>
      <c r="F15" s="1325"/>
      <c r="G15" s="1325"/>
      <c r="H15" s="1325"/>
      <c r="I15" s="1325"/>
      <c r="J15" s="1325"/>
      <c r="K15" s="1325"/>
      <c r="L15" s="1325"/>
      <c r="M15" s="1325"/>
      <c r="N15" s="1325"/>
      <c r="O15" s="1325"/>
      <c r="P15" s="1325"/>
      <c r="Q15" s="1325"/>
      <c r="R15" s="1325"/>
      <c r="S15" s="1325"/>
      <c r="T15" s="1325"/>
      <c r="U15" s="1325"/>
      <c r="V15" s="1325"/>
      <c r="W15" s="1325"/>
      <c r="X15" s="1325"/>
      <c r="Y15" s="1325"/>
      <c r="Z15" s="1325"/>
      <c r="AA15" s="1325"/>
      <c r="AB15" s="1325"/>
      <c r="AC15" s="1325"/>
      <c r="AD15" s="1325"/>
      <c r="AE15" s="1325"/>
      <c r="AF15" s="1325"/>
      <c r="AG15" s="1325"/>
      <c r="AH15" s="1325"/>
      <c r="AI15" s="1325"/>
      <c r="AJ15" s="1325"/>
      <c r="AK15" s="1325"/>
      <c r="AL15" s="1325"/>
      <c r="AM15" s="1325"/>
      <c r="AN15" s="1325"/>
      <c r="AO15" s="1325"/>
      <c r="AP15" s="1325"/>
      <c r="AQ15" s="1325"/>
      <c r="AR15" s="1325"/>
      <c r="AS15" s="1325"/>
      <c r="AT15" s="1325"/>
      <c r="AU15" s="1325"/>
      <c r="AV15" s="1325"/>
      <c r="AW15" s="1325"/>
      <c r="AX15" s="1325"/>
      <c r="AY15" s="1325"/>
      <c r="AZ15" s="1325"/>
      <c r="BA15" s="1325"/>
      <c r="BB15" s="1325"/>
      <c r="BC15" s="1325"/>
      <c r="BD15" s="1325"/>
      <c r="BE15" s="1325"/>
      <c r="BF15" s="1325"/>
      <c r="BG15" s="1325"/>
      <c r="BH15" s="1325"/>
      <c r="BI15" s="1325"/>
      <c r="BJ15" s="1325"/>
      <c r="BK15" s="1325"/>
      <c r="BL15" s="1325"/>
      <c r="BM15" s="1325"/>
      <c r="BN15" s="1325"/>
      <c r="BO15" s="1325"/>
      <c r="BP15" s="1325"/>
      <c r="BQ15" s="1325"/>
      <c r="BR15" s="1325"/>
      <c r="BS15" s="1325"/>
      <c r="BT15" s="1325"/>
      <c r="BU15" s="1325"/>
      <c r="BV15" s="1325"/>
      <c r="BW15" s="1325"/>
      <c r="BX15" s="1325"/>
      <c r="BY15" s="1325"/>
      <c r="BZ15" s="1325"/>
      <c r="CA15" s="1325"/>
      <c r="CB15" s="1325"/>
      <c r="CC15" s="1325"/>
      <c r="CD15" s="1325"/>
      <c r="CE15" s="1325"/>
      <c r="CF15" s="1325"/>
      <c r="CG15" s="1325"/>
      <c r="CH15" s="1325"/>
      <c r="CI15" s="1325"/>
      <c r="CJ15" s="1325"/>
      <c r="CK15" s="1325"/>
      <c r="CL15" s="1325"/>
      <c r="CM15" s="1325"/>
      <c r="CN15" s="1325"/>
      <c r="CO15" s="1325"/>
      <c r="CP15" s="1325"/>
      <c r="CQ15" s="1325"/>
      <c r="CR15" s="1325"/>
      <c r="CS15" s="1325"/>
      <c r="CT15" s="1325"/>
      <c r="CU15" s="1325"/>
      <c r="CV15" s="1325"/>
      <c r="CW15" s="1325"/>
      <c r="CX15" s="1325"/>
      <c r="CY15" s="1325"/>
      <c r="CZ15" s="1325"/>
      <c r="DA15" s="1325"/>
      <c r="DB15" s="1325"/>
      <c r="DC15" s="1325"/>
      <c r="DD15" s="1325"/>
      <c r="DE15" s="1325"/>
      <c r="DF15" s="1325"/>
      <c r="DG15" s="1325"/>
      <c r="DH15" s="1325"/>
      <c r="DI15" s="1325"/>
      <c r="DJ15" s="1325"/>
      <c r="DK15" s="1325"/>
      <c r="DL15" s="1325"/>
      <c r="DM15" s="1325"/>
      <c r="DN15" s="1325"/>
      <c r="DO15" s="1325"/>
      <c r="DP15" s="1325"/>
      <c r="DQ15" s="1325"/>
      <c r="DR15" s="1325"/>
      <c r="DS15" s="1325"/>
      <c r="DT15" s="1325"/>
      <c r="DU15" s="1325"/>
      <c r="DV15" s="1325"/>
      <c r="DW15" s="1325"/>
      <c r="DX15" s="1325"/>
      <c r="DY15" s="1325"/>
      <c r="DZ15" s="1325"/>
      <c r="EA15" s="1325"/>
      <c r="EB15" s="1325"/>
      <c r="EC15" s="1325"/>
      <c r="ED15" s="1325"/>
      <c r="EE15" s="1325"/>
      <c r="EF15" s="1325"/>
      <c r="EG15" s="1325"/>
      <c r="EH15" s="1325"/>
      <c r="EI15" s="1325"/>
      <c r="EJ15" s="1325"/>
      <c r="EK15" s="1325"/>
      <c r="EL15" s="1325"/>
      <c r="EM15" s="1325"/>
      <c r="EN15" s="1325"/>
      <c r="EO15" s="1325"/>
      <c r="EP15" s="1325"/>
      <c r="EQ15" s="1325"/>
      <c r="ER15" s="1325"/>
      <c r="ES15" s="1325"/>
      <c r="ET15" s="1325"/>
      <c r="EU15" s="1325"/>
      <c r="EV15" s="1325"/>
      <c r="EW15" s="1325"/>
      <c r="EX15" s="1325"/>
      <c r="EY15" s="1325"/>
      <c r="EZ15" s="1325"/>
      <c r="FA15" s="1325"/>
      <c r="FB15" s="1325"/>
      <c r="FC15" s="1325"/>
      <c r="FD15" s="1325"/>
      <c r="FE15" s="1325"/>
      <c r="FF15" s="1325"/>
      <c r="FG15" s="1325"/>
      <c r="FH15" s="1325"/>
      <c r="FI15" s="1325"/>
      <c r="FJ15" s="1325"/>
      <c r="FK15" s="1325"/>
      <c r="FL15" s="1325"/>
      <c r="FM15" s="1325"/>
      <c r="FN15" s="1325"/>
      <c r="FO15" s="1325"/>
      <c r="FP15" s="1325"/>
      <c r="FQ15" s="1325"/>
      <c r="FR15" s="1325"/>
      <c r="FS15" s="1325"/>
      <c r="FT15" s="1325"/>
      <c r="FU15" s="1325"/>
      <c r="FV15" s="1325"/>
      <c r="FW15" s="1325"/>
      <c r="FX15" s="1325"/>
      <c r="FY15" s="1325"/>
      <c r="FZ15" s="1325"/>
      <c r="GA15" s="1325"/>
      <c r="GB15" s="1325"/>
      <c r="GC15" s="1325"/>
      <c r="GD15" s="1325"/>
      <c r="GE15" s="1325"/>
      <c r="GF15" s="1325"/>
      <c r="GG15" s="1325"/>
      <c r="GH15" s="1325"/>
      <c r="GI15" s="1325"/>
      <c r="GJ15" s="1325"/>
      <c r="GK15" s="1325"/>
      <c r="GL15" s="1325"/>
      <c r="GM15" s="1325"/>
      <c r="GN15" s="1325"/>
      <c r="GO15" s="1325"/>
      <c r="GP15" s="1325"/>
      <c r="GQ15" s="1325"/>
      <c r="GR15" s="1325"/>
      <c r="GS15" s="1325"/>
      <c r="GT15" s="1325"/>
      <c r="GU15" s="1325"/>
      <c r="GV15" s="1325"/>
      <c r="GW15" s="1325"/>
      <c r="GX15" s="1325"/>
      <c r="GY15" s="1325"/>
      <c r="GZ15" s="1325"/>
      <c r="HA15" s="1325"/>
      <c r="HB15" s="1325"/>
      <c r="HC15" s="1325"/>
      <c r="HD15" s="1325"/>
      <c r="HE15" s="1325"/>
      <c r="HF15" s="1325"/>
      <c r="HG15" s="1325"/>
      <c r="HH15" s="1325"/>
      <c r="HI15" s="1325"/>
      <c r="HJ15" s="1325"/>
      <c r="HK15" s="1325"/>
      <c r="HL15" s="1325"/>
      <c r="HM15" s="1325"/>
      <c r="HN15" s="1325"/>
      <c r="HO15" s="1325"/>
      <c r="HP15" s="1325"/>
      <c r="HQ15" s="1325"/>
      <c r="HR15" s="1325"/>
      <c r="HS15" s="1325"/>
      <c r="HT15" s="1325"/>
      <c r="HU15" s="1325"/>
      <c r="HV15" s="1325"/>
      <c r="HW15" s="1325"/>
      <c r="HX15" s="1325"/>
      <c r="HY15" s="1325"/>
      <c r="HZ15" s="1325"/>
      <c r="IA15" s="1325"/>
      <c r="IB15" s="1325"/>
      <c r="IC15" s="1325"/>
      <c r="ID15" s="1325"/>
      <c r="IE15" s="1325"/>
      <c r="IF15" s="1325"/>
      <c r="IG15" s="1325"/>
      <c r="IH15" s="1325"/>
      <c r="II15" s="1325"/>
      <c r="IJ15" s="1325"/>
      <c r="IK15" s="1325"/>
      <c r="IL15" s="1325"/>
      <c r="IM15" s="1325"/>
      <c r="IN15" s="1325"/>
      <c r="IO15" s="1325"/>
      <c r="IP15" s="1325"/>
      <c r="IQ15" s="1325"/>
      <c r="IR15" s="1325"/>
      <c r="IS15" s="1325"/>
      <c r="IT15" s="1325"/>
      <c r="IU15" s="1325"/>
      <c r="IV15" s="1325"/>
    </row>
    <row r="16" spans="1:256" ht="25.5">
      <c r="A16" s="1326" t="s">
        <v>788</v>
      </c>
      <c r="B16" s="1327" t="s">
        <v>384</v>
      </c>
      <c r="C16" s="1328">
        <v>689239664</v>
      </c>
      <c r="D16" s="1328">
        <v>570304760</v>
      </c>
      <c r="E16" s="1325"/>
      <c r="F16" s="1325"/>
      <c r="G16" s="1325"/>
      <c r="H16" s="1325"/>
      <c r="I16" s="1325"/>
      <c r="J16" s="1325"/>
      <c r="K16" s="1325"/>
      <c r="L16" s="1325"/>
      <c r="M16" s="1325"/>
      <c r="N16" s="1325"/>
      <c r="O16" s="1325"/>
      <c r="P16" s="1325"/>
      <c r="Q16" s="1325"/>
      <c r="R16" s="1325"/>
      <c r="S16" s="1325"/>
      <c r="T16" s="1325"/>
      <c r="U16" s="1325"/>
      <c r="V16" s="1325"/>
      <c r="W16" s="1325"/>
      <c r="X16" s="1325"/>
      <c r="Y16" s="1325"/>
      <c r="Z16" s="1325"/>
      <c r="AA16" s="1325"/>
      <c r="AB16" s="1325"/>
      <c r="AC16" s="1325"/>
      <c r="AD16" s="1325"/>
      <c r="AE16" s="1325"/>
      <c r="AF16" s="1325"/>
      <c r="AG16" s="1325"/>
      <c r="AH16" s="1325"/>
      <c r="AI16" s="1325"/>
      <c r="AJ16" s="1325"/>
      <c r="AK16" s="1325"/>
      <c r="AL16" s="1325"/>
      <c r="AM16" s="1325"/>
      <c r="AN16" s="1325"/>
      <c r="AO16" s="1325"/>
      <c r="AP16" s="1325"/>
      <c r="AQ16" s="1325"/>
      <c r="AR16" s="1325"/>
      <c r="AS16" s="1325"/>
      <c r="AT16" s="1325"/>
      <c r="AU16" s="1325"/>
      <c r="AV16" s="1325"/>
      <c r="AW16" s="1325"/>
      <c r="AX16" s="1325"/>
      <c r="AY16" s="1325"/>
      <c r="AZ16" s="1325"/>
      <c r="BA16" s="1325"/>
      <c r="BB16" s="1325"/>
      <c r="BC16" s="1325"/>
      <c r="BD16" s="1325"/>
      <c r="BE16" s="1325"/>
      <c r="BF16" s="1325"/>
      <c r="BG16" s="1325"/>
      <c r="BH16" s="1325"/>
      <c r="BI16" s="1325"/>
      <c r="BJ16" s="1325"/>
      <c r="BK16" s="1325"/>
      <c r="BL16" s="1325"/>
      <c r="BM16" s="1325"/>
      <c r="BN16" s="1325"/>
      <c r="BO16" s="1325"/>
      <c r="BP16" s="1325"/>
      <c r="BQ16" s="1325"/>
      <c r="BR16" s="1325"/>
      <c r="BS16" s="1325"/>
      <c r="BT16" s="1325"/>
      <c r="BU16" s="1325"/>
      <c r="BV16" s="1325"/>
      <c r="BW16" s="1325"/>
      <c r="BX16" s="1325"/>
      <c r="BY16" s="1325"/>
      <c r="BZ16" s="1325"/>
      <c r="CA16" s="1325"/>
      <c r="CB16" s="1325"/>
      <c r="CC16" s="1325"/>
      <c r="CD16" s="1325"/>
      <c r="CE16" s="1325"/>
      <c r="CF16" s="1325"/>
      <c r="CG16" s="1325"/>
      <c r="CH16" s="1325"/>
      <c r="CI16" s="1325"/>
      <c r="CJ16" s="1325"/>
      <c r="CK16" s="1325"/>
      <c r="CL16" s="1325"/>
      <c r="CM16" s="1325"/>
      <c r="CN16" s="1325"/>
      <c r="CO16" s="1325"/>
      <c r="CP16" s="1325"/>
      <c r="CQ16" s="1325"/>
      <c r="CR16" s="1325"/>
      <c r="CS16" s="1325"/>
      <c r="CT16" s="1325"/>
      <c r="CU16" s="1325"/>
      <c r="CV16" s="1325"/>
      <c r="CW16" s="1325"/>
      <c r="CX16" s="1325"/>
      <c r="CY16" s="1325"/>
      <c r="CZ16" s="1325"/>
      <c r="DA16" s="1325"/>
      <c r="DB16" s="1325"/>
      <c r="DC16" s="1325"/>
      <c r="DD16" s="1325"/>
      <c r="DE16" s="1325"/>
      <c r="DF16" s="1325"/>
      <c r="DG16" s="1325"/>
      <c r="DH16" s="1325"/>
      <c r="DI16" s="1325"/>
      <c r="DJ16" s="1325"/>
      <c r="DK16" s="1325"/>
      <c r="DL16" s="1325"/>
      <c r="DM16" s="1325"/>
      <c r="DN16" s="1325"/>
      <c r="DO16" s="1325"/>
      <c r="DP16" s="1325"/>
      <c r="DQ16" s="1325"/>
      <c r="DR16" s="1325"/>
      <c r="DS16" s="1325"/>
      <c r="DT16" s="1325"/>
      <c r="DU16" s="1325"/>
      <c r="DV16" s="1325"/>
      <c r="DW16" s="1325"/>
      <c r="DX16" s="1325"/>
      <c r="DY16" s="1325"/>
      <c r="DZ16" s="1325"/>
      <c r="EA16" s="1325"/>
      <c r="EB16" s="1325"/>
      <c r="EC16" s="1325"/>
      <c r="ED16" s="1325"/>
      <c r="EE16" s="1325"/>
      <c r="EF16" s="1325"/>
      <c r="EG16" s="1325"/>
      <c r="EH16" s="1325"/>
      <c r="EI16" s="1325"/>
      <c r="EJ16" s="1325"/>
      <c r="EK16" s="1325"/>
      <c r="EL16" s="1325"/>
      <c r="EM16" s="1325"/>
      <c r="EN16" s="1325"/>
      <c r="EO16" s="1325"/>
      <c r="EP16" s="1325"/>
      <c r="EQ16" s="1325"/>
      <c r="ER16" s="1325"/>
      <c r="ES16" s="1325"/>
      <c r="ET16" s="1325"/>
      <c r="EU16" s="1325"/>
      <c r="EV16" s="1325"/>
      <c r="EW16" s="1325"/>
      <c r="EX16" s="1325"/>
      <c r="EY16" s="1325"/>
      <c r="EZ16" s="1325"/>
      <c r="FA16" s="1325"/>
      <c r="FB16" s="1325"/>
      <c r="FC16" s="1325"/>
      <c r="FD16" s="1325"/>
      <c r="FE16" s="1325"/>
      <c r="FF16" s="1325"/>
      <c r="FG16" s="1325"/>
      <c r="FH16" s="1325"/>
      <c r="FI16" s="1325"/>
      <c r="FJ16" s="1325"/>
      <c r="FK16" s="1325"/>
      <c r="FL16" s="1325"/>
      <c r="FM16" s="1325"/>
      <c r="FN16" s="1325"/>
      <c r="FO16" s="1325"/>
      <c r="FP16" s="1325"/>
      <c r="FQ16" s="1325"/>
      <c r="FR16" s="1325"/>
      <c r="FS16" s="1325"/>
      <c r="FT16" s="1325"/>
      <c r="FU16" s="1325"/>
      <c r="FV16" s="1325"/>
      <c r="FW16" s="1325"/>
      <c r="FX16" s="1325"/>
      <c r="FY16" s="1325"/>
      <c r="FZ16" s="1325"/>
      <c r="GA16" s="1325"/>
      <c r="GB16" s="1325"/>
      <c r="GC16" s="1325"/>
      <c r="GD16" s="1325"/>
      <c r="GE16" s="1325"/>
      <c r="GF16" s="1325"/>
      <c r="GG16" s="1325"/>
      <c r="GH16" s="1325"/>
      <c r="GI16" s="1325"/>
      <c r="GJ16" s="1325"/>
      <c r="GK16" s="1325"/>
      <c r="GL16" s="1325"/>
      <c r="GM16" s="1325"/>
      <c r="GN16" s="1325"/>
      <c r="GO16" s="1325"/>
      <c r="GP16" s="1325"/>
      <c r="GQ16" s="1325"/>
      <c r="GR16" s="1325"/>
      <c r="GS16" s="1325"/>
      <c r="GT16" s="1325"/>
      <c r="GU16" s="1325"/>
      <c r="GV16" s="1325"/>
      <c r="GW16" s="1325"/>
      <c r="GX16" s="1325"/>
      <c r="GY16" s="1325"/>
      <c r="GZ16" s="1325"/>
      <c r="HA16" s="1325"/>
      <c r="HB16" s="1325"/>
      <c r="HC16" s="1325"/>
      <c r="HD16" s="1325"/>
      <c r="HE16" s="1325"/>
      <c r="HF16" s="1325"/>
      <c r="HG16" s="1325"/>
      <c r="HH16" s="1325"/>
      <c r="HI16" s="1325"/>
      <c r="HJ16" s="1325"/>
      <c r="HK16" s="1325"/>
      <c r="HL16" s="1325"/>
      <c r="HM16" s="1325"/>
      <c r="HN16" s="1325"/>
      <c r="HO16" s="1325"/>
      <c r="HP16" s="1325"/>
      <c r="HQ16" s="1325"/>
      <c r="HR16" s="1325"/>
      <c r="HS16" s="1325"/>
      <c r="HT16" s="1325"/>
      <c r="HU16" s="1325"/>
      <c r="HV16" s="1325"/>
      <c r="HW16" s="1325"/>
      <c r="HX16" s="1325"/>
      <c r="HY16" s="1325"/>
      <c r="HZ16" s="1325"/>
      <c r="IA16" s="1325"/>
      <c r="IB16" s="1325"/>
      <c r="IC16" s="1325"/>
      <c r="ID16" s="1325"/>
      <c r="IE16" s="1325"/>
      <c r="IF16" s="1325"/>
      <c r="IG16" s="1325"/>
      <c r="IH16" s="1325"/>
      <c r="II16" s="1325"/>
      <c r="IJ16" s="1325"/>
      <c r="IK16" s="1325"/>
      <c r="IL16" s="1325"/>
      <c r="IM16" s="1325"/>
      <c r="IN16" s="1325"/>
      <c r="IO16" s="1325"/>
      <c r="IP16" s="1325"/>
      <c r="IQ16" s="1325"/>
      <c r="IR16" s="1325"/>
      <c r="IS16" s="1325"/>
      <c r="IT16" s="1325"/>
      <c r="IU16" s="1325"/>
      <c r="IV16" s="1325"/>
    </row>
    <row r="17" spans="1:256" ht="15.75">
      <c r="A17" s="1326" t="s">
        <v>789</v>
      </c>
      <c r="B17" s="1327" t="s">
        <v>404</v>
      </c>
      <c r="C17" s="1328">
        <v>108252883</v>
      </c>
      <c r="D17" s="1328">
        <v>94361230</v>
      </c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1325"/>
      <c r="AG17" s="1325"/>
      <c r="AH17" s="1325"/>
      <c r="AI17" s="1325"/>
      <c r="AJ17" s="1325"/>
      <c r="AK17" s="1325"/>
      <c r="AL17" s="1325"/>
      <c r="AM17" s="1325"/>
      <c r="AN17" s="1325"/>
      <c r="AO17" s="1325"/>
      <c r="AP17" s="1325"/>
      <c r="AQ17" s="1325"/>
      <c r="AR17" s="1325"/>
      <c r="AS17" s="1325"/>
      <c r="AT17" s="1325"/>
      <c r="AU17" s="1325"/>
      <c r="AV17" s="1325"/>
      <c r="AW17" s="1325"/>
      <c r="AX17" s="1325"/>
      <c r="AY17" s="1325"/>
      <c r="AZ17" s="1325"/>
      <c r="BA17" s="1325"/>
      <c r="BB17" s="1325"/>
      <c r="BC17" s="1325"/>
      <c r="BD17" s="1325"/>
      <c r="BE17" s="1325"/>
      <c r="BF17" s="1325"/>
      <c r="BG17" s="1325"/>
      <c r="BH17" s="1325"/>
      <c r="BI17" s="1325"/>
      <c r="BJ17" s="1325"/>
      <c r="BK17" s="1325"/>
      <c r="BL17" s="1325"/>
      <c r="BM17" s="1325"/>
      <c r="BN17" s="1325"/>
      <c r="BO17" s="1325"/>
      <c r="BP17" s="1325"/>
      <c r="BQ17" s="1325"/>
      <c r="BR17" s="1325"/>
      <c r="BS17" s="1325"/>
      <c r="BT17" s="1325"/>
      <c r="BU17" s="1325"/>
      <c r="BV17" s="1325"/>
      <c r="BW17" s="1325"/>
      <c r="BX17" s="1325"/>
      <c r="BY17" s="1325"/>
      <c r="BZ17" s="1325"/>
      <c r="CA17" s="1325"/>
      <c r="CB17" s="1325"/>
      <c r="CC17" s="1325"/>
      <c r="CD17" s="1325"/>
      <c r="CE17" s="1325"/>
      <c r="CF17" s="1325"/>
      <c r="CG17" s="1325"/>
      <c r="CH17" s="1325"/>
      <c r="CI17" s="1325"/>
      <c r="CJ17" s="1325"/>
      <c r="CK17" s="1325"/>
      <c r="CL17" s="1325"/>
      <c r="CM17" s="1325"/>
      <c r="CN17" s="1325"/>
      <c r="CO17" s="1325"/>
      <c r="CP17" s="1325"/>
      <c r="CQ17" s="1325"/>
      <c r="CR17" s="1325"/>
      <c r="CS17" s="1325"/>
      <c r="CT17" s="1325"/>
      <c r="CU17" s="1325"/>
      <c r="CV17" s="1325"/>
      <c r="CW17" s="1325"/>
      <c r="CX17" s="1325"/>
      <c r="CY17" s="1325"/>
      <c r="CZ17" s="1325"/>
      <c r="DA17" s="1325"/>
      <c r="DB17" s="1325"/>
      <c r="DC17" s="1325"/>
      <c r="DD17" s="1325"/>
      <c r="DE17" s="1325"/>
      <c r="DF17" s="1325"/>
      <c r="DG17" s="1325"/>
      <c r="DH17" s="1325"/>
      <c r="DI17" s="1325"/>
      <c r="DJ17" s="1325"/>
      <c r="DK17" s="1325"/>
      <c r="DL17" s="1325"/>
      <c r="DM17" s="1325"/>
      <c r="DN17" s="1325"/>
      <c r="DO17" s="1325"/>
      <c r="DP17" s="1325"/>
      <c r="DQ17" s="1325"/>
      <c r="DR17" s="1325"/>
      <c r="DS17" s="1325"/>
      <c r="DT17" s="1325"/>
      <c r="DU17" s="1325"/>
      <c r="DV17" s="1325"/>
      <c r="DW17" s="1325"/>
      <c r="DX17" s="1325"/>
      <c r="DY17" s="1325"/>
      <c r="DZ17" s="1325"/>
      <c r="EA17" s="1325"/>
      <c r="EB17" s="1325"/>
      <c r="EC17" s="1325"/>
      <c r="ED17" s="1325"/>
      <c r="EE17" s="1325"/>
      <c r="EF17" s="1325"/>
      <c r="EG17" s="1325"/>
      <c r="EH17" s="1325"/>
      <c r="EI17" s="1325"/>
      <c r="EJ17" s="1325"/>
      <c r="EK17" s="1325"/>
      <c r="EL17" s="1325"/>
      <c r="EM17" s="1325"/>
      <c r="EN17" s="1325"/>
      <c r="EO17" s="1325"/>
      <c r="EP17" s="1325"/>
      <c r="EQ17" s="1325"/>
      <c r="ER17" s="1325"/>
      <c r="ES17" s="1325"/>
      <c r="ET17" s="1325"/>
      <c r="EU17" s="1325"/>
      <c r="EV17" s="1325"/>
      <c r="EW17" s="1325"/>
      <c r="EX17" s="1325"/>
      <c r="EY17" s="1325"/>
      <c r="EZ17" s="1325"/>
      <c r="FA17" s="1325"/>
      <c r="FB17" s="1325"/>
      <c r="FC17" s="1325"/>
      <c r="FD17" s="1325"/>
      <c r="FE17" s="1325"/>
      <c r="FF17" s="1325"/>
      <c r="FG17" s="1325"/>
      <c r="FH17" s="1325"/>
      <c r="FI17" s="1325"/>
      <c r="FJ17" s="1325"/>
      <c r="FK17" s="1325"/>
      <c r="FL17" s="1325"/>
      <c r="FM17" s="1325"/>
      <c r="FN17" s="1325"/>
      <c r="FO17" s="1325"/>
      <c r="FP17" s="1325"/>
      <c r="FQ17" s="1325"/>
      <c r="FR17" s="1325"/>
      <c r="FS17" s="1325"/>
      <c r="FT17" s="1325"/>
      <c r="FU17" s="1325"/>
      <c r="FV17" s="1325"/>
      <c r="FW17" s="1325"/>
      <c r="FX17" s="1325"/>
      <c r="FY17" s="1325"/>
      <c r="FZ17" s="1325"/>
      <c r="GA17" s="1325"/>
      <c r="GB17" s="1325"/>
      <c r="GC17" s="1325"/>
      <c r="GD17" s="1325"/>
      <c r="GE17" s="1325"/>
      <c r="GF17" s="1325"/>
      <c r="GG17" s="1325"/>
      <c r="GH17" s="1325"/>
      <c r="GI17" s="1325"/>
      <c r="GJ17" s="1325"/>
      <c r="GK17" s="1325"/>
      <c r="GL17" s="1325"/>
      <c r="GM17" s="1325"/>
      <c r="GN17" s="1325"/>
      <c r="GO17" s="1325"/>
      <c r="GP17" s="1325"/>
      <c r="GQ17" s="1325"/>
      <c r="GR17" s="1325"/>
      <c r="GS17" s="1325"/>
      <c r="GT17" s="1325"/>
      <c r="GU17" s="1325"/>
      <c r="GV17" s="1325"/>
      <c r="GW17" s="1325"/>
      <c r="GX17" s="1325"/>
      <c r="GY17" s="1325"/>
      <c r="GZ17" s="1325"/>
      <c r="HA17" s="1325"/>
      <c r="HB17" s="1325"/>
      <c r="HC17" s="1325"/>
      <c r="HD17" s="1325"/>
      <c r="HE17" s="1325"/>
      <c r="HF17" s="1325"/>
      <c r="HG17" s="1325"/>
      <c r="HH17" s="1325"/>
      <c r="HI17" s="1325"/>
      <c r="HJ17" s="1325"/>
      <c r="HK17" s="1325"/>
      <c r="HL17" s="1325"/>
      <c r="HM17" s="1325"/>
      <c r="HN17" s="1325"/>
      <c r="HO17" s="1325"/>
      <c r="HP17" s="1325"/>
      <c r="HQ17" s="1325"/>
      <c r="HR17" s="1325"/>
      <c r="HS17" s="1325"/>
      <c r="HT17" s="1325"/>
      <c r="HU17" s="1325"/>
      <c r="HV17" s="1325"/>
      <c r="HW17" s="1325"/>
      <c r="HX17" s="1325"/>
      <c r="HY17" s="1325"/>
      <c r="HZ17" s="1325"/>
      <c r="IA17" s="1325"/>
      <c r="IB17" s="1325"/>
      <c r="IC17" s="1325"/>
      <c r="ID17" s="1325"/>
      <c r="IE17" s="1325"/>
      <c r="IF17" s="1325"/>
      <c r="IG17" s="1325"/>
      <c r="IH17" s="1325"/>
      <c r="II17" s="1325"/>
      <c r="IJ17" s="1325"/>
      <c r="IK17" s="1325"/>
      <c r="IL17" s="1325"/>
      <c r="IM17" s="1325"/>
      <c r="IN17" s="1325"/>
      <c r="IO17" s="1325"/>
      <c r="IP17" s="1325"/>
      <c r="IQ17" s="1325"/>
      <c r="IR17" s="1325"/>
      <c r="IS17" s="1325"/>
      <c r="IT17" s="1325"/>
      <c r="IU17" s="1325"/>
      <c r="IV17" s="1325"/>
    </row>
    <row r="18" spans="1:256" ht="15.75">
      <c r="A18" s="1329" t="s">
        <v>790</v>
      </c>
      <c r="B18" s="1330" t="s">
        <v>405</v>
      </c>
      <c r="C18" s="1331">
        <f>SUM(C19:C22)</f>
        <v>83548865</v>
      </c>
      <c r="D18" s="1331">
        <f>SUM(D19:D22)</f>
        <v>22821495</v>
      </c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1325"/>
      <c r="T18" s="1325"/>
      <c r="U18" s="1325"/>
      <c r="V18" s="1325"/>
      <c r="W18" s="1325"/>
      <c r="X18" s="1325"/>
      <c r="Y18" s="1325"/>
      <c r="Z18" s="1325"/>
      <c r="AA18" s="1325"/>
      <c r="AB18" s="1325"/>
      <c r="AC18" s="1325"/>
      <c r="AD18" s="1325"/>
      <c r="AE18" s="1325"/>
      <c r="AF18" s="1325"/>
      <c r="AG18" s="1325"/>
      <c r="AH18" s="1325"/>
      <c r="AI18" s="1325"/>
      <c r="AJ18" s="1325"/>
      <c r="AK18" s="1325"/>
      <c r="AL18" s="1325"/>
      <c r="AM18" s="1325"/>
      <c r="AN18" s="1325"/>
      <c r="AO18" s="1325"/>
      <c r="AP18" s="1325"/>
      <c r="AQ18" s="1325"/>
      <c r="AR18" s="1325"/>
      <c r="AS18" s="1325"/>
      <c r="AT18" s="1325"/>
      <c r="AU18" s="1325"/>
      <c r="AV18" s="1325"/>
      <c r="AW18" s="1325"/>
      <c r="AX18" s="1325"/>
      <c r="AY18" s="1325"/>
      <c r="AZ18" s="1325"/>
      <c r="BA18" s="1325"/>
      <c r="BB18" s="1325"/>
      <c r="BC18" s="1325"/>
      <c r="BD18" s="1325"/>
      <c r="BE18" s="1325"/>
      <c r="BF18" s="1325"/>
      <c r="BG18" s="1325"/>
      <c r="BH18" s="1325"/>
      <c r="BI18" s="1325"/>
      <c r="BJ18" s="1325"/>
      <c r="BK18" s="1325"/>
      <c r="BL18" s="1325"/>
      <c r="BM18" s="1325"/>
      <c r="BN18" s="1325"/>
      <c r="BO18" s="1325"/>
      <c r="BP18" s="1325"/>
      <c r="BQ18" s="1325"/>
      <c r="BR18" s="1325"/>
      <c r="BS18" s="1325"/>
      <c r="BT18" s="1325"/>
      <c r="BU18" s="1325"/>
      <c r="BV18" s="1325"/>
      <c r="BW18" s="1325"/>
      <c r="BX18" s="1325"/>
      <c r="BY18" s="1325"/>
      <c r="BZ18" s="1325"/>
      <c r="CA18" s="1325"/>
      <c r="CB18" s="1325"/>
      <c r="CC18" s="1325"/>
      <c r="CD18" s="1325"/>
      <c r="CE18" s="1325"/>
      <c r="CF18" s="1325"/>
      <c r="CG18" s="1325"/>
      <c r="CH18" s="1325"/>
      <c r="CI18" s="1325"/>
      <c r="CJ18" s="1325"/>
      <c r="CK18" s="1325"/>
      <c r="CL18" s="1325"/>
      <c r="CM18" s="1325"/>
      <c r="CN18" s="1325"/>
      <c r="CO18" s="1325"/>
      <c r="CP18" s="1325"/>
      <c r="CQ18" s="1325"/>
      <c r="CR18" s="1325"/>
      <c r="CS18" s="1325"/>
      <c r="CT18" s="1325"/>
      <c r="CU18" s="1325"/>
      <c r="CV18" s="1325"/>
      <c r="CW18" s="1325"/>
      <c r="CX18" s="1325"/>
      <c r="CY18" s="1325"/>
      <c r="CZ18" s="1325"/>
      <c r="DA18" s="1325"/>
      <c r="DB18" s="1325"/>
      <c r="DC18" s="1325"/>
      <c r="DD18" s="1325"/>
      <c r="DE18" s="1325"/>
      <c r="DF18" s="1325"/>
      <c r="DG18" s="1325"/>
      <c r="DH18" s="1325"/>
      <c r="DI18" s="1325"/>
      <c r="DJ18" s="1325"/>
      <c r="DK18" s="1325"/>
      <c r="DL18" s="1325"/>
      <c r="DM18" s="1325"/>
      <c r="DN18" s="1325"/>
      <c r="DO18" s="1325"/>
      <c r="DP18" s="1325"/>
      <c r="DQ18" s="1325"/>
      <c r="DR18" s="1325"/>
      <c r="DS18" s="1325"/>
      <c r="DT18" s="1325"/>
      <c r="DU18" s="1325"/>
      <c r="DV18" s="1325"/>
      <c r="DW18" s="1325"/>
      <c r="DX18" s="1325"/>
      <c r="DY18" s="1325"/>
      <c r="DZ18" s="1325"/>
      <c r="EA18" s="1325"/>
      <c r="EB18" s="1325"/>
      <c r="EC18" s="1325"/>
      <c r="ED18" s="1325"/>
      <c r="EE18" s="1325"/>
      <c r="EF18" s="1325"/>
      <c r="EG18" s="1325"/>
      <c r="EH18" s="1325"/>
      <c r="EI18" s="1325"/>
      <c r="EJ18" s="1325"/>
      <c r="EK18" s="1325"/>
      <c r="EL18" s="1325"/>
      <c r="EM18" s="1325"/>
      <c r="EN18" s="1325"/>
      <c r="EO18" s="1325"/>
      <c r="EP18" s="1325"/>
      <c r="EQ18" s="1325"/>
      <c r="ER18" s="1325"/>
      <c r="ES18" s="1325"/>
      <c r="ET18" s="1325"/>
      <c r="EU18" s="1325"/>
      <c r="EV18" s="1325"/>
      <c r="EW18" s="1325"/>
      <c r="EX18" s="1325"/>
      <c r="EY18" s="1325"/>
      <c r="EZ18" s="1325"/>
      <c r="FA18" s="1325"/>
      <c r="FB18" s="1325"/>
      <c r="FC18" s="1325"/>
      <c r="FD18" s="1325"/>
      <c r="FE18" s="1325"/>
      <c r="FF18" s="1325"/>
      <c r="FG18" s="1325"/>
      <c r="FH18" s="1325"/>
      <c r="FI18" s="1325"/>
      <c r="FJ18" s="1325"/>
      <c r="FK18" s="1325"/>
      <c r="FL18" s="1325"/>
      <c r="FM18" s="1325"/>
      <c r="FN18" s="1325"/>
      <c r="FO18" s="1325"/>
      <c r="FP18" s="1325"/>
      <c r="FQ18" s="1325"/>
      <c r="FR18" s="1325"/>
      <c r="FS18" s="1325"/>
      <c r="FT18" s="1325"/>
      <c r="FU18" s="1325"/>
      <c r="FV18" s="1325"/>
      <c r="FW18" s="1325"/>
      <c r="FX18" s="1325"/>
      <c r="FY18" s="1325"/>
      <c r="FZ18" s="1325"/>
      <c r="GA18" s="1325"/>
      <c r="GB18" s="1325"/>
      <c r="GC18" s="1325"/>
      <c r="GD18" s="1325"/>
      <c r="GE18" s="1325"/>
      <c r="GF18" s="1325"/>
      <c r="GG18" s="1325"/>
      <c r="GH18" s="1325"/>
      <c r="GI18" s="1325"/>
      <c r="GJ18" s="1325"/>
      <c r="GK18" s="1325"/>
      <c r="GL18" s="1325"/>
      <c r="GM18" s="1325"/>
      <c r="GN18" s="1325"/>
      <c r="GO18" s="1325"/>
      <c r="GP18" s="1325"/>
      <c r="GQ18" s="1325"/>
      <c r="GR18" s="1325"/>
      <c r="GS18" s="1325"/>
      <c r="GT18" s="1325"/>
      <c r="GU18" s="1325"/>
      <c r="GV18" s="1325"/>
      <c r="GW18" s="1325"/>
      <c r="GX18" s="1325"/>
      <c r="GY18" s="1325"/>
      <c r="GZ18" s="1325"/>
      <c r="HA18" s="1325"/>
      <c r="HB18" s="1325"/>
      <c r="HC18" s="1325"/>
      <c r="HD18" s="1325"/>
      <c r="HE18" s="1325"/>
      <c r="HF18" s="1325"/>
      <c r="HG18" s="1325"/>
      <c r="HH18" s="1325"/>
      <c r="HI18" s="1325"/>
      <c r="HJ18" s="1325"/>
      <c r="HK18" s="1325"/>
      <c r="HL18" s="1325"/>
      <c r="HM18" s="1325"/>
      <c r="HN18" s="1325"/>
      <c r="HO18" s="1325"/>
      <c r="HP18" s="1325"/>
      <c r="HQ18" s="1325"/>
      <c r="HR18" s="1325"/>
      <c r="HS18" s="1325"/>
      <c r="HT18" s="1325"/>
      <c r="HU18" s="1325"/>
      <c r="HV18" s="1325"/>
      <c r="HW18" s="1325"/>
      <c r="HX18" s="1325"/>
      <c r="HY18" s="1325"/>
      <c r="HZ18" s="1325"/>
      <c r="IA18" s="1325"/>
      <c r="IB18" s="1325"/>
      <c r="IC18" s="1325"/>
      <c r="ID18" s="1325"/>
      <c r="IE18" s="1325"/>
      <c r="IF18" s="1325"/>
      <c r="IG18" s="1325"/>
      <c r="IH18" s="1325"/>
      <c r="II18" s="1325"/>
      <c r="IJ18" s="1325"/>
      <c r="IK18" s="1325"/>
      <c r="IL18" s="1325"/>
      <c r="IM18" s="1325"/>
      <c r="IN18" s="1325"/>
      <c r="IO18" s="1325"/>
      <c r="IP18" s="1325"/>
      <c r="IQ18" s="1325"/>
      <c r="IR18" s="1325"/>
      <c r="IS18" s="1325"/>
      <c r="IT18" s="1325"/>
      <c r="IU18" s="1325"/>
      <c r="IV18" s="1325"/>
    </row>
    <row r="19" spans="1:256" ht="15.75">
      <c r="A19" s="1326" t="s">
        <v>791</v>
      </c>
      <c r="B19" s="1327" t="s">
        <v>407</v>
      </c>
      <c r="C19" s="1328"/>
      <c r="D19" s="1328"/>
      <c r="E19" s="1325"/>
      <c r="F19" s="1325"/>
      <c r="G19" s="1325"/>
      <c r="H19" s="1325"/>
      <c r="I19" s="1325"/>
      <c r="J19" s="1325"/>
      <c r="K19" s="1325"/>
      <c r="L19" s="1325"/>
      <c r="M19" s="1325"/>
      <c r="N19" s="1325"/>
      <c r="O19" s="1325"/>
      <c r="P19" s="1325"/>
      <c r="Q19" s="1325"/>
      <c r="R19" s="1325"/>
      <c r="S19" s="1325"/>
      <c r="T19" s="1325"/>
      <c r="U19" s="1325"/>
      <c r="V19" s="1325"/>
      <c r="W19" s="1325"/>
      <c r="X19" s="1325"/>
      <c r="Y19" s="1325"/>
      <c r="Z19" s="1325"/>
      <c r="AA19" s="1325"/>
      <c r="AB19" s="1325"/>
      <c r="AC19" s="1325"/>
      <c r="AD19" s="1325"/>
      <c r="AE19" s="1325"/>
      <c r="AF19" s="1325"/>
      <c r="AG19" s="1325"/>
      <c r="AH19" s="1325"/>
      <c r="AI19" s="1325"/>
      <c r="AJ19" s="1325"/>
      <c r="AK19" s="1325"/>
      <c r="AL19" s="1325"/>
      <c r="AM19" s="1325"/>
      <c r="AN19" s="1325"/>
      <c r="AO19" s="1325"/>
      <c r="AP19" s="1325"/>
      <c r="AQ19" s="1325"/>
      <c r="AR19" s="1325"/>
      <c r="AS19" s="1325"/>
      <c r="AT19" s="1325"/>
      <c r="AU19" s="1325"/>
      <c r="AV19" s="1325"/>
      <c r="AW19" s="1325"/>
      <c r="AX19" s="1325"/>
      <c r="AY19" s="1325"/>
      <c r="AZ19" s="1325"/>
      <c r="BA19" s="1325"/>
      <c r="BB19" s="1325"/>
      <c r="BC19" s="1325"/>
      <c r="BD19" s="1325"/>
      <c r="BE19" s="1325"/>
      <c r="BF19" s="1325"/>
      <c r="BG19" s="1325"/>
      <c r="BH19" s="1325"/>
      <c r="BI19" s="1325"/>
      <c r="BJ19" s="1325"/>
      <c r="BK19" s="1325"/>
      <c r="BL19" s="1325"/>
      <c r="BM19" s="1325"/>
      <c r="BN19" s="1325"/>
      <c r="BO19" s="1325"/>
      <c r="BP19" s="1325"/>
      <c r="BQ19" s="1325"/>
      <c r="BR19" s="1325"/>
      <c r="BS19" s="1325"/>
      <c r="BT19" s="1325"/>
      <c r="BU19" s="1325"/>
      <c r="BV19" s="1325"/>
      <c r="BW19" s="1325"/>
      <c r="BX19" s="1325"/>
      <c r="BY19" s="1325"/>
      <c r="BZ19" s="1325"/>
      <c r="CA19" s="1325"/>
      <c r="CB19" s="1325"/>
      <c r="CC19" s="1325"/>
      <c r="CD19" s="1325"/>
      <c r="CE19" s="1325"/>
      <c r="CF19" s="1325"/>
      <c r="CG19" s="1325"/>
      <c r="CH19" s="1325"/>
      <c r="CI19" s="1325"/>
      <c r="CJ19" s="1325"/>
      <c r="CK19" s="1325"/>
      <c r="CL19" s="1325"/>
      <c r="CM19" s="1325"/>
      <c r="CN19" s="1325"/>
      <c r="CO19" s="1325"/>
      <c r="CP19" s="1325"/>
      <c r="CQ19" s="1325"/>
      <c r="CR19" s="1325"/>
      <c r="CS19" s="1325"/>
      <c r="CT19" s="1325"/>
      <c r="CU19" s="1325"/>
      <c r="CV19" s="1325"/>
      <c r="CW19" s="1325"/>
      <c r="CX19" s="1325"/>
      <c r="CY19" s="1325"/>
      <c r="CZ19" s="1325"/>
      <c r="DA19" s="1325"/>
      <c r="DB19" s="1325"/>
      <c r="DC19" s="1325"/>
      <c r="DD19" s="1325"/>
      <c r="DE19" s="1325"/>
      <c r="DF19" s="1325"/>
      <c r="DG19" s="1325"/>
      <c r="DH19" s="1325"/>
      <c r="DI19" s="1325"/>
      <c r="DJ19" s="1325"/>
      <c r="DK19" s="1325"/>
      <c r="DL19" s="1325"/>
      <c r="DM19" s="1325"/>
      <c r="DN19" s="1325"/>
      <c r="DO19" s="1325"/>
      <c r="DP19" s="1325"/>
      <c r="DQ19" s="1325"/>
      <c r="DR19" s="1325"/>
      <c r="DS19" s="1325"/>
      <c r="DT19" s="1325"/>
      <c r="DU19" s="1325"/>
      <c r="DV19" s="1325"/>
      <c r="DW19" s="1325"/>
      <c r="DX19" s="1325"/>
      <c r="DY19" s="1325"/>
      <c r="DZ19" s="1325"/>
      <c r="EA19" s="1325"/>
      <c r="EB19" s="1325"/>
      <c r="EC19" s="1325"/>
      <c r="ED19" s="1325"/>
      <c r="EE19" s="1325"/>
      <c r="EF19" s="1325"/>
      <c r="EG19" s="1325"/>
      <c r="EH19" s="1325"/>
      <c r="EI19" s="1325"/>
      <c r="EJ19" s="1325"/>
      <c r="EK19" s="1325"/>
      <c r="EL19" s="1325"/>
      <c r="EM19" s="1325"/>
      <c r="EN19" s="1325"/>
      <c r="EO19" s="1325"/>
      <c r="EP19" s="1325"/>
      <c r="EQ19" s="1325"/>
      <c r="ER19" s="1325"/>
      <c r="ES19" s="1325"/>
      <c r="ET19" s="1325"/>
      <c r="EU19" s="1325"/>
      <c r="EV19" s="1325"/>
      <c r="EW19" s="1325"/>
      <c r="EX19" s="1325"/>
      <c r="EY19" s="1325"/>
      <c r="EZ19" s="1325"/>
      <c r="FA19" s="1325"/>
      <c r="FB19" s="1325"/>
      <c r="FC19" s="1325"/>
      <c r="FD19" s="1325"/>
      <c r="FE19" s="1325"/>
      <c r="FF19" s="1325"/>
      <c r="FG19" s="1325"/>
      <c r="FH19" s="1325"/>
      <c r="FI19" s="1325"/>
      <c r="FJ19" s="1325"/>
      <c r="FK19" s="1325"/>
      <c r="FL19" s="1325"/>
      <c r="FM19" s="1325"/>
      <c r="FN19" s="1325"/>
      <c r="FO19" s="1325"/>
      <c r="FP19" s="1325"/>
      <c r="FQ19" s="1325"/>
      <c r="FR19" s="1325"/>
      <c r="FS19" s="1325"/>
      <c r="FT19" s="1325"/>
      <c r="FU19" s="1325"/>
      <c r="FV19" s="1325"/>
      <c r="FW19" s="1325"/>
      <c r="FX19" s="1325"/>
      <c r="FY19" s="1325"/>
      <c r="FZ19" s="1325"/>
      <c r="GA19" s="1325"/>
      <c r="GB19" s="1325"/>
      <c r="GC19" s="1325"/>
      <c r="GD19" s="1325"/>
      <c r="GE19" s="1325"/>
      <c r="GF19" s="1325"/>
      <c r="GG19" s="1325"/>
      <c r="GH19" s="1325"/>
      <c r="GI19" s="1325"/>
      <c r="GJ19" s="1325"/>
      <c r="GK19" s="1325"/>
      <c r="GL19" s="1325"/>
      <c r="GM19" s="1325"/>
      <c r="GN19" s="1325"/>
      <c r="GO19" s="1325"/>
      <c r="GP19" s="1325"/>
      <c r="GQ19" s="1325"/>
      <c r="GR19" s="1325"/>
      <c r="GS19" s="1325"/>
      <c r="GT19" s="1325"/>
      <c r="GU19" s="1325"/>
      <c r="GV19" s="1325"/>
      <c r="GW19" s="1325"/>
      <c r="GX19" s="1325"/>
      <c r="GY19" s="1325"/>
      <c r="GZ19" s="1325"/>
      <c r="HA19" s="1325"/>
      <c r="HB19" s="1325"/>
      <c r="HC19" s="1325"/>
      <c r="HD19" s="1325"/>
      <c r="HE19" s="1325"/>
      <c r="HF19" s="1325"/>
      <c r="HG19" s="1325"/>
      <c r="HH19" s="1325"/>
      <c r="HI19" s="1325"/>
      <c r="HJ19" s="1325"/>
      <c r="HK19" s="1325"/>
      <c r="HL19" s="1325"/>
      <c r="HM19" s="1325"/>
      <c r="HN19" s="1325"/>
      <c r="HO19" s="1325"/>
      <c r="HP19" s="1325"/>
      <c r="HQ19" s="1325"/>
      <c r="HR19" s="1325"/>
      <c r="HS19" s="1325"/>
      <c r="HT19" s="1325"/>
      <c r="HU19" s="1325"/>
      <c r="HV19" s="1325"/>
      <c r="HW19" s="1325"/>
      <c r="HX19" s="1325"/>
      <c r="HY19" s="1325"/>
      <c r="HZ19" s="1325"/>
      <c r="IA19" s="1325"/>
      <c r="IB19" s="1325"/>
      <c r="IC19" s="1325"/>
      <c r="ID19" s="1325"/>
      <c r="IE19" s="1325"/>
      <c r="IF19" s="1325"/>
      <c r="IG19" s="1325"/>
      <c r="IH19" s="1325"/>
      <c r="II19" s="1325"/>
      <c r="IJ19" s="1325"/>
      <c r="IK19" s="1325"/>
      <c r="IL19" s="1325"/>
      <c r="IM19" s="1325"/>
      <c r="IN19" s="1325"/>
      <c r="IO19" s="1325"/>
      <c r="IP19" s="1325"/>
      <c r="IQ19" s="1325"/>
      <c r="IR19" s="1325"/>
      <c r="IS19" s="1325"/>
      <c r="IT19" s="1325"/>
      <c r="IU19" s="1325"/>
      <c r="IV19" s="1325"/>
    </row>
    <row r="20" spans="1:256" ht="38.25">
      <c r="A20" s="1326" t="s">
        <v>792</v>
      </c>
      <c r="B20" s="1327" t="s">
        <v>409</v>
      </c>
      <c r="C20" s="1328"/>
      <c r="D20" s="1328"/>
      <c r="E20" s="1325"/>
      <c r="F20" s="1325"/>
      <c r="G20" s="1325"/>
      <c r="H20" s="1325"/>
      <c r="I20" s="1325"/>
      <c r="J20" s="1325"/>
      <c r="K20" s="1325"/>
      <c r="L20" s="1325"/>
      <c r="M20" s="1325"/>
      <c r="N20" s="1325"/>
      <c r="O20" s="1325"/>
      <c r="P20" s="1325"/>
      <c r="Q20" s="1325"/>
      <c r="R20" s="1325"/>
      <c r="S20" s="1325"/>
      <c r="T20" s="1325"/>
      <c r="U20" s="1325"/>
      <c r="V20" s="1325"/>
      <c r="W20" s="1325"/>
      <c r="X20" s="1325"/>
      <c r="Y20" s="1325"/>
      <c r="Z20" s="1325"/>
      <c r="AA20" s="1325"/>
      <c r="AB20" s="1325"/>
      <c r="AC20" s="1325"/>
      <c r="AD20" s="1325"/>
      <c r="AE20" s="1325"/>
      <c r="AF20" s="1325"/>
      <c r="AG20" s="1325"/>
      <c r="AH20" s="1325"/>
      <c r="AI20" s="1325"/>
      <c r="AJ20" s="1325"/>
      <c r="AK20" s="1325"/>
      <c r="AL20" s="1325"/>
      <c r="AM20" s="1325"/>
      <c r="AN20" s="1325"/>
      <c r="AO20" s="1325"/>
      <c r="AP20" s="1325"/>
      <c r="AQ20" s="1325"/>
      <c r="AR20" s="1325"/>
      <c r="AS20" s="1325"/>
      <c r="AT20" s="1325"/>
      <c r="AU20" s="1325"/>
      <c r="AV20" s="1325"/>
      <c r="AW20" s="1325"/>
      <c r="AX20" s="1325"/>
      <c r="AY20" s="1325"/>
      <c r="AZ20" s="1325"/>
      <c r="BA20" s="1325"/>
      <c r="BB20" s="1325"/>
      <c r="BC20" s="1325"/>
      <c r="BD20" s="1325"/>
      <c r="BE20" s="1325"/>
      <c r="BF20" s="1325"/>
      <c r="BG20" s="1325"/>
      <c r="BH20" s="1325"/>
      <c r="BI20" s="1325"/>
      <c r="BJ20" s="1325"/>
      <c r="BK20" s="1325"/>
      <c r="BL20" s="1325"/>
      <c r="BM20" s="1325"/>
      <c r="BN20" s="1325"/>
      <c r="BO20" s="1325"/>
      <c r="BP20" s="1325"/>
      <c r="BQ20" s="1325"/>
      <c r="BR20" s="1325"/>
      <c r="BS20" s="1325"/>
      <c r="BT20" s="1325"/>
      <c r="BU20" s="1325"/>
      <c r="BV20" s="1325"/>
      <c r="BW20" s="1325"/>
      <c r="BX20" s="1325"/>
      <c r="BY20" s="1325"/>
      <c r="BZ20" s="1325"/>
      <c r="CA20" s="1325"/>
      <c r="CB20" s="1325"/>
      <c r="CC20" s="1325"/>
      <c r="CD20" s="1325"/>
      <c r="CE20" s="1325"/>
      <c r="CF20" s="1325"/>
      <c r="CG20" s="1325"/>
      <c r="CH20" s="1325"/>
      <c r="CI20" s="1325"/>
      <c r="CJ20" s="1325"/>
      <c r="CK20" s="1325"/>
      <c r="CL20" s="1325"/>
      <c r="CM20" s="1325"/>
      <c r="CN20" s="1325"/>
      <c r="CO20" s="1325"/>
      <c r="CP20" s="1325"/>
      <c r="CQ20" s="1325"/>
      <c r="CR20" s="1325"/>
      <c r="CS20" s="1325"/>
      <c r="CT20" s="1325"/>
      <c r="CU20" s="1325"/>
      <c r="CV20" s="1325"/>
      <c r="CW20" s="1325"/>
      <c r="CX20" s="1325"/>
      <c r="CY20" s="1325"/>
      <c r="CZ20" s="1325"/>
      <c r="DA20" s="1325"/>
      <c r="DB20" s="1325"/>
      <c r="DC20" s="1325"/>
      <c r="DD20" s="1325"/>
      <c r="DE20" s="1325"/>
      <c r="DF20" s="1325"/>
      <c r="DG20" s="1325"/>
      <c r="DH20" s="1325"/>
      <c r="DI20" s="1325"/>
      <c r="DJ20" s="1325"/>
      <c r="DK20" s="1325"/>
      <c r="DL20" s="1325"/>
      <c r="DM20" s="1325"/>
      <c r="DN20" s="1325"/>
      <c r="DO20" s="1325"/>
      <c r="DP20" s="1325"/>
      <c r="DQ20" s="1325"/>
      <c r="DR20" s="1325"/>
      <c r="DS20" s="1325"/>
      <c r="DT20" s="1325"/>
      <c r="DU20" s="1325"/>
      <c r="DV20" s="1325"/>
      <c r="DW20" s="1325"/>
      <c r="DX20" s="1325"/>
      <c r="DY20" s="1325"/>
      <c r="DZ20" s="1325"/>
      <c r="EA20" s="1325"/>
      <c r="EB20" s="1325"/>
      <c r="EC20" s="1325"/>
      <c r="ED20" s="1325"/>
      <c r="EE20" s="1325"/>
      <c r="EF20" s="1325"/>
      <c r="EG20" s="1325"/>
      <c r="EH20" s="1325"/>
      <c r="EI20" s="1325"/>
      <c r="EJ20" s="1325"/>
      <c r="EK20" s="1325"/>
      <c r="EL20" s="1325"/>
      <c r="EM20" s="1325"/>
      <c r="EN20" s="1325"/>
      <c r="EO20" s="1325"/>
      <c r="EP20" s="1325"/>
      <c r="EQ20" s="1325"/>
      <c r="ER20" s="1325"/>
      <c r="ES20" s="1325"/>
      <c r="ET20" s="1325"/>
      <c r="EU20" s="1325"/>
      <c r="EV20" s="1325"/>
      <c r="EW20" s="1325"/>
      <c r="EX20" s="1325"/>
      <c r="EY20" s="1325"/>
      <c r="EZ20" s="1325"/>
      <c r="FA20" s="1325"/>
      <c r="FB20" s="1325"/>
      <c r="FC20" s="1325"/>
      <c r="FD20" s="1325"/>
      <c r="FE20" s="1325"/>
      <c r="FF20" s="1325"/>
      <c r="FG20" s="1325"/>
      <c r="FH20" s="1325"/>
      <c r="FI20" s="1325"/>
      <c r="FJ20" s="1325"/>
      <c r="FK20" s="1325"/>
      <c r="FL20" s="1325"/>
      <c r="FM20" s="1325"/>
      <c r="FN20" s="1325"/>
      <c r="FO20" s="1325"/>
      <c r="FP20" s="1325"/>
      <c r="FQ20" s="1325"/>
      <c r="FR20" s="1325"/>
      <c r="FS20" s="1325"/>
      <c r="FT20" s="1325"/>
      <c r="FU20" s="1325"/>
      <c r="FV20" s="1325"/>
      <c r="FW20" s="1325"/>
      <c r="FX20" s="1325"/>
      <c r="FY20" s="1325"/>
      <c r="FZ20" s="1325"/>
      <c r="GA20" s="1325"/>
      <c r="GB20" s="1325"/>
      <c r="GC20" s="1325"/>
      <c r="GD20" s="1325"/>
      <c r="GE20" s="1325"/>
      <c r="GF20" s="1325"/>
      <c r="GG20" s="1325"/>
      <c r="GH20" s="1325"/>
      <c r="GI20" s="1325"/>
      <c r="GJ20" s="1325"/>
      <c r="GK20" s="1325"/>
      <c r="GL20" s="1325"/>
      <c r="GM20" s="1325"/>
      <c r="GN20" s="1325"/>
      <c r="GO20" s="1325"/>
      <c r="GP20" s="1325"/>
      <c r="GQ20" s="1325"/>
      <c r="GR20" s="1325"/>
      <c r="GS20" s="1325"/>
      <c r="GT20" s="1325"/>
      <c r="GU20" s="1325"/>
      <c r="GV20" s="1325"/>
      <c r="GW20" s="1325"/>
      <c r="GX20" s="1325"/>
      <c r="GY20" s="1325"/>
      <c r="GZ20" s="1325"/>
      <c r="HA20" s="1325"/>
      <c r="HB20" s="1325"/>
      <c r="HC20" s="1325"/>
      <c r="HD20" s="1325"/>
      <c r="HE20" s="1325"/>
      <c r="HF20" s="1325"/>
      <c r="HG20" s="1325"/>
      <c r="HH20" s="1325"/>
      <c r="HI20" s="1325"/>
      <c r="HJ20" s="1325"/>
      <c r="HK20" s="1325"/>
      <c r="HL20" s="1325"/>
      <c r="HM20" s="1325"/>
      <c r="HN20" s="1325"/>
      <c r="HO20" s="1325"/>
      <c r="HP20" s="1325"/>
      <c r="HQ20" s="1325"/>
      <c r="HR20" s="1325"/>
      <c r="HS20" s="1325"/>
      <c r="HT20" s="1325"/>
      <c r="HU20" s="1325"/>
      <c r="HV20" s="1325"/>
      <c r="HW20" s="1325"/>
      <c r="HX20" s="1325"/>
      <c r="HY20" s="1325"/>
      <c r="HZ20" s="1325"/>
      <c r="IA20" s="1325"/>
      <c r="IB20" s="1325"/>
      <c r="IC20" s="1325"/>
      <c r="ID20" s="1325"/>
      <c r="IE20" s="1325"/>
      <c r="IF20" s="1325"/>
      <c r="IG20" s="1325"/>
      <c r="IH20" s="1325"/>
      <c r="II20" s="1325"/>
      <c r="IJ20" s="1325"/>
      <c r="IK20" s="1325"/>
      <c r="IL20" s="1325"/>
      <c r="IM20" s="1325"/>
      <c r="IN20" s="1325"/>
      <c r="IO20" s="1325"/>
      <c r="IP20" s="1325"/>
      <c r="IQ20" s="1325"/>
      <c r="IR20" s="1325"/>
      <c r="IS20" s="1325"/>
      <c r="IT20" s="1325"/>
      <c r="IU20" s="1325"/>
      <c r="IV20" s="1325"/>
    </row>
    <row r="21" spans="1:256" ht="25.5">
      <c r="A21" s="1326" t="s">
        <v>793</v>
      </c>
      <c r="B21" s="1327" t="s">
        <v>411</v>
      </c>
      <c r="C21" s="1328">
        <v>12194908</v>
      </c>
      <c r="D21" s="1328">
        <f>+C21-12194908</f>
        <v>0</v>
      </c>
      <c r="E21" s="1325"/>
      <c r="F21" s="1325"/>
      <c r="G21" s="1325"/>
      <c r="H21" s="1325"/>
      <c r="I21" s="1325"/>
      <c r="J21" s="1325"/>
      <c r="K21" s="1325"/>
      <c r="L21" s="1325"/>
      <c r="M21" s="1325"/>
      <c r="N21" s="1325"/>
      <c r="O21" s="1325"/>
      <c r="P21" s="1325"/>
      <c r="Q21" s="1325"/>
      <c r="R21" s="1325"/>
      <c r="S21" s="1325"/>
      <c r="T21" s="1325"/>
      <c r="U21" s="1325"/>
      <c r="V21" s="1325"/>
      <c r="W21" s="1325"/>
      <c r="X21" s="1325"/>
      <c r="Y21" s="1325"/>
      <c r="Z21" s="1325"/>
      <c r="AA21" s="1325"/>
      <c r="AB21" s="1325"/>
      <c r="AC21" s="1325"/>
      <c r="AD21" s="1325"/>
      <c r="AE21" s="1325"/>
      <c r="AF21" s="1325"/>
      <c r="AG21" s="1325"/>
      <c r="AH21" s="1325"/>
      <c r="AI21" s="1325"/>
      <c r="AJ21" s="1325"/>
      <c r="AK21" s="1325"/>
      <c r="AL21" s="1325"/>
      <c r="AM21" s="1325"/>
      <c r="AN21" s="1325"/>
      <c r="AO21" s="1325"/>
      <c r="AP21" s="1325"/>
      <c r="AQ21" s="1325"/>
      <c r="AR21" s="1325"/>
      <c r="AS21" s="1325"/>
      <c r="AT21" s="1325"/>
      <c r="AU21" s="1325"/>
      <c r="AV21" s="1325"/>
      <c r="AW21" s="1325"/>
      <c r="AX21" s="1325"/>
      <c r="AY21" s="1325"/>
      <c r="AZ21" s="1325"/>
      <c r="BA21" s="1325"/>
      <c r="BB21" s="1325"/>
      <c r="BC21" s="1325"/>
      <c r="BD21" s="1325"/>
      <c r="BE21" s="1325"/>
      <c r="BF21" s="1325"/>
      <c r="BG21" s="1325"/>
      <c r="BH21" s="1325"/>
      <c r="BI21" s="1325"/>
      <c r="BJ21" s="1325"/>
      <c r="BK21" s="1325"/>
      <c r="BL21" s="1325"/>
      <c r="BM21" s="1325"/>
      <c r="BN21" s="1325"/>
      <c r="BO21" s="1325"/>
      <c r="BP21" s="1325"/>
      <c r="BQ21" s="1325"/>
      <c r="BR21" s="1325"/>
      <c r="BS21" s="1325"/>
      <c r="BT21" s="1325"/>
      <c r="BU21" s="1325"/>
      <c r="BV21" s="1325"/>
      <c r="BW21" s="1325"/>
      <c r="BX21" s="1325"/>
      <c r="BY21" s="1325"/>
      <c r="BZ21" s="1325"/>
      <c r="CA21" s="1325"/>
      <c r="CB21" s="1325"/>
      <c r="CC21" s="1325"/>
      <c r="CD21" s="1325"/>
      <c r="CE21" s="1325"/>
      <c r="CF21" s="1325"/>
      <c r="CG21" s="1325"/>
      <c r="CH21" s="1325"/>
      <c r="CI21" s="1325"/>
      <c r="CJ21" s="1325"/>
      <c r="CK21" s="1325"/>
      <c r="CL21" s="1325"/>
      <c r="CM21" s="1325"/>
      <c r="CN21" s="1325"/>
      <c r="CO21" s="1325"/>
      <c r="CP21" s="1325"/>
      <c r="CQ21" s="1325"/>
      <c r="CR21" s="1325"/>
      <c r="CS21" s="1325"/>
      <c r="CT21" s="1325"/>
      <c r="CU21" s="1325"/>
      <c r="CV21" s="1325"/>
      <c r="CW21" s="1325"/>
      <c r="CX21" s="1325"/>
      <c r="CY21" s="1325"/>
      <c r="CZ21" s="1325"/>
      <c r="DA21" s="1325"/>
      <c r="DB21" s="1325"/>
      <c r="DC21" s="1325"/>
      <c r="DD21" s="1325"/>
      <c r="DE21" s="1325"/>
      <c r="DF21" s="1325"/>
      <c r="DG21" s="1325"/>
      <c r="DH21" s="1325"/>
      <c r="DI21" s="1325"/>
      <c r="DJ21" s="1325"/>
      <c r="DK21" s="1325"/>
      <c r="DL21" s="1325"/>
      <c r="DM21" s="1325"/>
      <c r="DN21" s="1325"/>
      <c r="DO21" s="1325"/>
      <c r="DP21" s="1325"/>
      <c r="DQ21" s="1325"/>
      <c r="DR21" s="1325"/>
      <c r="DS21" s="1325"/>
      <c r="DT21" s="1325"/>
      <c r="DU21" s="1325"/>
      <c r="DV21" s="1325"/>
      <c r="DW21" s="1325"/>
      <c r="DX21" s="1325"/>
      <c r="DY21" s="1325"/>
      <c r="DZ21" s="1325"/>
      <c r="EA21" s="1325"/>
      <c r="EB21" s="1325"/>
      <c r="EC21" s="1325"/>
      <c r="ED21" s="1325"/>
      <c r="EE21" s="1325"/>
      <c r="EF21" s="1325"/>
      <c r="EG21" s="1325"/>
      <c r="EH21" s="1325"/>
      <c r="EI21" s="1325"/>
      <c r="EJ21" s="1325"/>
      <c r="EK21" s="1325"/>
      <c r="EL21" s="1325"/>
      <c r="EM21" s="1325"/>
      <c r="EN21" s="1325"/>
      <c r="EO21" s="1325"/>
      <c r="EP21" s="1325"/>
      <c r="EQ21" s="1325"/>
      <c r="ER21" s="1325"/>
      <c r="ES21" s="1325"/>
      <c r="ET21" s="1325"/>
      <c r="EU21" s="1325"/>
      <c r="EV21" s="1325"/>
      <c r="EW21" s="1325"/>
      <c r="EX21" s="1325"/>
      <c r="EY21" s="1325"/>
      <c r="EZ21" s="1325"/>
      <c r="FA21" s="1325"/>
      <c r="FB21" s="1325"/>
      <c r="FC21" s="1325"/>
      <c r="FD21" s="1325"/>
      <c r="FE21" s="1325"/>
      <c r="FF21" s="1325"/>
      <c r="FG21" s="1325"/>
      <c r="FH21" s="1325"/>
      <c r="FI21" s="1325"/>
      <c r="FJ21" s="1325"/>
      <c r="FK21" s="1325"/>
      <c r="FL21" s="1325"/>
      <c r="FM21" s="1325"/>
      <c r="FN21" s="1325"/>
      <c r="FO21" s="1325"/>
      <c r="FP21" s="1325"/>
      <c r="FQ21" s="1325"/>
      <c r="FR21" s="1325"/>
      <c r="FS21" s="1325"/>
      <c r="FT21" s="1325"/>
      <c r="FU21" s="1325"/>
      <c r="FV21" s="1325"/>
      <c r="FW21" s="1325"/>
      <c r="FX21" s="1325"/>
      <c r="FY21" s="1325"/>
      <c r="FZ21" s="1325"/>
      <c r="GA21" s="1325"/>
      <c r="GB21" s="1325"/>
      <c r="GC21" s="1325"/>
      <c r="GD21" s="1325"/>
      <c r="GE21" s="1325"/>
      <c r="GF21" s="1325"/>
      <c r="GG21" s="1325"/>
      <c r="GH21" s="1325"/>
      <c r="GI21" s="1325"/>
      <c r="GJ21" s="1325"/>
      <c r="GK21" s="1325"/>
      <c r="GL21" s="1325"/>
      <c r="GM21" s="1325"/>
      <c r="GN21" s="1325"/>
      <c r="GO21" s="1325"/>
      <c r="GP21" s="1325"/>
      <c r="GQ21" s="1325"/>
      <c r="GR21" s="1325"/>
      <c r="GS21" s="1325"/>
      <c r="GT21" s="1325"/>
      <c r="GU21" s="1325"/>
      <c r="GV21" s="1325"/>
      <c r="GW21" s="1325"/>
      <c r="GX21" s="1325"/>
      <c r="GY21" s="1325"/>
      <c r="GZ21" s="1325"/>
      <c r="HA21" s="1325"/>
      <c r="HB21" s="1325"/>
      <c r="HC21" s="1325"/>
      <c r="HD21" s="1325"/>
      <c r="HE21" s="1325"/>
      <c r="HF21" s="1325"/>
      <c r="HG21" s="1325"/>
      <c r="HH21" s="1325"/>
      <c r="HI21" s="1325"/>
      <c r="HJ21" s="1325"/>
      <c r="HK21" s="1325"/>
      <c r="HL21" s="1325"/>
      <c r="HM21" s="1325"/>
      <c r="HN21" s="1325"/>
      <c r="HO21" s="1325"/>
      <c r="HP21" s="1325"/>
      <c r="HQ21" s="1325"/>
      <c r="HR21" s="1325"/>
      <c r="HS21" s="1325"/>
      <c r="HT21" s="1325"/>
      <c r="HU21" s="1325"/>
      <c r="HV21" s="1325"/>
      <c r="HW21" s="1325"/>
      <c r="HX21" s="1325"/>
      <c r="HY21" s="1325"/>
      <c r="HZ21" s="1325"/>
      <c r="IA21" s="1325"/>
      <c r="IB21" s="1325"/>
      <c r="IC21" s="1325"/>
      <c r="ID21" s="1325"/>
      <c r="IE21" s="1325"/>
      <c r="IF21" s="1325"/>
      <c r="IG21" s="1325"/>
      <c r="IH21" s="1325"/>
      <c r="II21" s="1325"/>
      <c r="IJ21" s="1325"/>
      <c r="IK21" s="1325"/>
      <c r="IL21" s="1325"/>
      <c r="IM21" s="1325"/>
      <c r="IN21" s="1325"/>
      <c r="IO21" s="1325"/>
      <c r="IP21" s="1325"/>
      <c r="IQ21" s="1325"/>
      <c r="IR21" s="1325"/>
      <c r="IS21" s="1325"/>
      <c r="IT21" s="1325"/>
      <c r="IU21" s="1325"/>
      <c r="IV21" s="1325"/>
    </row>
    <row r="22" spans="1:256" ht="15.75">
      <c r="A22" s="1326" t="s">
        <v>794</v>
      </c>
      <c r="B22" s="1327" t="s">
        <v>557</v>
      </c>
      <c r="C22" s="1328">
        <v>71353957</v>
      </c>
      <c r="D22" s="1328">
        <v>22821495</v>
      </c>
      <c r="E22" s="1325"/>
      <c r="F22" s="1325"/>
      <c r="G22" s="1325"/>
      <c r="H22" s="1325"/>
      <c r="I22" s="1325"/>
      <c r="J22" s="1325"/>
      <c r="K22" s="1325"/>
      <c r="L22" s="1325"/>
      <c r="M22" s="1325"/>
      <c r="N22" s="1325"/>
      <c r="O22" s="1325"/>
      <c r="P22" s="1325"/>
      <c r="Q22" s="1325"/>
      <c r="R22" s="1325"/>
      <c r="S22" s="1325"/>
      <c r="T22" s="1325"/>
      <c r="U22" s="1325"/>
      <c r="V22" s="1325"/>
      <c r="W22" s="1325"/>
      <c r="X22" s="1325"/>
      <c r="Y22" s="1325"/>
      <c r="Z22" s="1325"/>
      <c r="AA22" s="1325"/>
      <c r="AB22" s="1325"/>
      <c r="AC22" s="1325"/>
      <c r="AD22" s="1325"/>
      <c r="AE22" s="1325"/>
      <c r="AF22" s="1325"/>
      <c r="AG22" s="1325"/>
      <c r="AH22" s="1325"/>
      <c r="AI22" s="1325"/>
      <c r="AJ22" s="1325"/>
      <c r="AK22" s="1325"/>
      <c r="AL22" s="1325"/>
      <c r="AM22" s="1325"/>
      <c r="AN22" s="1325"/>
      <c r="AO22" s="1325"/>
      <c r="AP22" s="1325"/>
      <c r="AQ22" s="1325"/>
      <c r="AR22" s="1325"/>
      <c r="AS22" s="1325"/>
      <c r="AT22" s="1325"/>
      <c r="AU22" s="1325"/>
      <c r="AV22" s="1325"/>
      <c r="AW22" s="1325"/>
      <c r="AX22" s="1325"/>
      <c r="AY22" s="1325"/>
      <c r="AZ22" s="1325"/>
      <c r="BA22" s="1325"/>
      <c r="BB22" s="1325"/>
      <c r="BC22" s="1325"/>
      <c r="BD22" s="1325"/>
      <c r="BE22" s="1325"/>
      <c r="BF22" s="1325"/>
      <c r="BG22" s="1325"/>
      <c r="BH22" s="1325"/>
      <c r="BI22" s="1325"/>
      <c r="BJ22" s="1325"/>
      <c r="BK22" s="1325"/>
      <c r="BL22" s="1325"/>
      <c r="BM22" s="1325"/>
      <c r="BN22" s="1325"/>
      <c r="BO22" s="1325"/>
      <c r="BP22" s="1325"/>
      <c r="BQ22" s="1325"/>
      <c r="BR22" s="1325"/>
      <c r="BS22" s="1325"/>
      <c r="BT22" s="1325"/>
      <c r="BU22" s="1325"/>
      <c r="BV22" s="1325"/>
      <c r="BW22" s="1325"/>
      <c r="BX22" s="1325"/>
      <c r="BY22" s="1325"/>
      <c r="BZ22" s="1325"/>
      <c r="CA22" s="1325"/>
      <c r="CB22" s="1325"/>
      <c r="CC22" s="1325"/>
      <c r="CD22" s="1325"/>
      <c r="CE22" s="1325"/>
      <c r="CF22" s="1325"/>
      <c r="CG22" s="1325"/>
      <c r="CH22" s="1325"/>
      <c r="CI22" s="1325"/>
      <c r="CJ22" s="1325"/>
      <c r="CK22" s="1325"/>
      <c r="CL22" s="1325"/>
      <c r="CM22" s="1325"/>
      <c r="CN22" s="1325"/>
      <c r="CO22" s="1325"/>
      <c r="CP22" s="1325"/>
      <c r="CQ22" s="1325"/>
      <c r="CR22" s="1325"/>
      <c r="CS22" s="1325"/>
      <c r="CT22" s="1325"/>
      <c r="CU22" s="1325"/>
      <c r="CV22" s="1325"/>
      <c r="CW22" s="1325"/>
      <c r="CX22" s="1325"/>
      <c r="CY22" s="1325"/>
      <c r="CZ22" s="1325"/>
      <c r="DA22" s="1325"/>
      <c r="DB22" s="1325"/>
      <c r="DC22" s="1325"/>
      <c r="DD22" s="1325"/>
      <c r="DE22" s="1325"/>
      <c r="DF22" s="1325"/>
      <c r="DG22" s="1325"/>
      <c r="DH22" s="1325"/>
      <c r="DI22" s="1325"/>
      <c r="DJ22" s="1325"/>
      <c r="DK22" s="1325"/>
      <c r="DL22" s="1325"/>
      <c r="DM22" s="1325"/>
      <c r="DN22" s="1325"/>
      <c r="DO22" s="1325"/>
      <c r="DP22" s="1325"/>
      <c r="DQ22" s="1325"/>
      <c r="DR22" s="1325"/>
      <c r="DS22" s="1325"/>
      <c r="DT22" s="1325"/>
      <c r="DU22" s="1325"/>
      <c r="DV22" s="1325"/>
      <c r="DW22" s="1325"/>
      <c r="DX22" s="1325"/>
      <c r="DY22" s="1325"/>
      <c r="DZ22" s="1325"/>
      <c r="EA22" s="1325"/>
      <c r="EB22" s="1325"/>
      <c r="EC22" s="1325"/>
      <c r="ED22" s="1325"/>
      <c r="EE22" s="1325"/>
      <c r="EF22" s="1325"/>
      <c r="EG22" s="1325"/>
      <c r="EH22" s="1325"/>
      <c r="EI22" s="1325"/>
      <c r="EJ22" s="1325"/>
      <c r="EK22" s="1325"/>
      <c r="EL22" s="1325"/>
      <c r="EM22" s="1325"/>
      <c r="EN22" s="1325"/>
      <c r="EO22" s="1325"/>
      <c r="EP22" s="1325"/>
      <c r="EQ22" s="1325"/>
      <c r="ER22" s="1325"/>
      <c r="ES22" s="1325"/>
      <c r="ET22" s="1325"/>
      <c r="EU22" s="1325"/>
      <c r="EV22" s="1325"/>
      <c r="EW22" s="1325"/>
      <c r="EX22" s="1325"/>
      <c r="EY22" s="1325"/>
      <c r="EZ22" s="1325"/>
      <c r="FA22" s="1325"/>
      <c r="FB22" s="1325"/>
      <c r="FC22" s="1325"/>
      <c r="FD22" s="1325"/>
      <c r="FE22" s="1325"/>
      <c r="FF22" s="1325"/>
      <c r="FG22" s="1325"/>
      <c r="FH22" s="1325"/>
      <c r="FI22" s="1325"/>
      <c r="FJ22" s="1325"/>
      <c r="FK22" s="1325"/>
      <c r="FL22" s="1325"/>
      <c r="FM22" s="1325"/>
      <c r="FN22" s="1325"/>
      <c r="FO22" s="1325"/>
      <c r="FP22" s="1325"/>
      <c r="FQ22" s="1325"/>
      <c r="FR22" s="1325"/>
      <c r="FS22" s="1325"/>
      <c r="FT22" s="1325"/>
      <c r="FU22" s="1325"/>
      <c r="FV22" s="1325"/>
      <c r="FW22" s="1325"/>
      <c r="FX22" s="1325"/>
      <c r="FY22" s="1325"/>
      <c r="FZ22" s="1325"/>
      <c r="GA22" s="1325"/>
      <c r="GB22" s="1325"/>
      <c r="GC22" s="1325"/>
      <c r="GD22" s="1325"/>
      <c r="GE22" s="1325"/>
      <c r="GF22" s="1325"/>
      <c r="GG22" s="1325"/>
      <c r="GH22" s="1325"/>
      <c r="GI22" s="1325"/>
      <c r="GJ22" s="1325"/>
      <c r="GK22" s="1325"/>
      <c r="GL22" s="1325"/>
      <c r="GM22" s="1325"/>
      <c r="GN22" s="1325"/>
      <c r="GO22" s="1325"/>
      <c r="GP22" s="1325"/>
      <c r="GQ22" s="1325"/>
      <c r="GR22" s="1325"/>
      <c r="GS22" s="1325"/>
      <c r="GT22" s="1325"/>
      <c r="GU22" s="1325"/>
      <c r="GV22" s="1325"/>
      <c r="GW22" s="1325"/>
      <c r="GX22" s="1325"/>
      <c r="GY22" s="1325"/>
      <c r="GZ22" s="1325"/>
      <c r="HA22" s="1325"/>
      <c r="HB22" s="1325"/>
      <c r="HC22" s="1325"/>
      <c r="HD22" s="1325"/>
      <c r="HE22" s="1325"/>
      <c r="HF22" s="1325"/>
      <c r="HG22" s="1325"/>
      <c r="HH22" s="1325"/>
      <c r="HI22" s="1325"/>
      <c r="HJ22" s="1325"/>
      <c r="HK22" s="1325"/>
      <c r="HL22" s="1325"/>
      <c r="HM22" s="1325"/>
      <c r="HN22" s="1325"/>
      <c r="HO22" s="1325"/>
      <c r="HP22" s="1325"/>
      <c r="HQ22" s="1325"/>
      <c r="HR22" s="1325"/>
      <c r="HS22" s="1325"/>
      <c r="HT22" s="1325"/>
      <c r="HU22" s="1325"/>
      <c r="HV22" s="1325"/>
      <c r="HW22" s="1325"/>
      <c r="HX22" s="1325"/>
      <c r="HY22" s="1325"/>
      <c r="HZ22" s="1325"/>
      <c r="IA22" s="1325"/>
      <c r="IB22" s="1325"/>
      <c r="IC22" s="1325"/>
      <c r="ID22" s="1325"/>
      <c r="IE22" s="1325"/>
      <c r="IF22" s="1325"/>
      <c r="IG22" s="1325"/>
      <c r="IH22" s="1325"/>
      <c r="II22" s="1325"/>
      <c r="IJ22" s="1325"/>
      <c r="IK22" s="1325"/>
      <c r="IL22" s="1325"/>
      <c r="IM22" s="1325"/>
      <c r="IN22" s="1325"/>
      <c r="IO22" s="1325"/>
      <c r="IP22" s="1325"/>
      <c r="IQ22" s="1325"/>
      <c r="IR22" s="1325"/>
      <c r="IS22" s="1325"/>
      <c r="IT22" s="1325"/>
      <c r="IU22" s="1325"/>
      <c r="IV22" s="1325"/>
    </row>
    <row r="23" spans="1:256" ht="15.75">
      <c r="A23" s="1329" t="s">
        <v>795</v>
      </c>
      <c r="B23" s="1330" t="s">
        <v>558</v>
      </c>
      <c r="C23" s="1332"/>
      <c r="D23" s="1332"/>
      <c r="E23" s="1325"/>
      <c r="F23" s="1325"/>
      <c r="G23" s="1325"/>
      <c r="H23" s="1325"/>
      <c r="I23" s="1325"/>
      <c r="J23" s="1325"/>
      <c r="K23" s="1325"/>
      <c r="L23" s="1325"/>
      <c r="M23" s="1325"/>
      <c r="N23" s="1325"/>
      <c r="O23" s="1325"/>
      <c r="P23" s="1325"/>
      <c r="Q23" s="1325"/>
      <c r="R23" s="1325"/>
      <c r="S23" s="1325"/>
      <c r="T23" s="1325"/>
      <c r="U23" s="1325"/>
      <c r="V23" s="1325"/>
      <c r="W23" s="1325"/>
      <c r="X23" s="1325"/>
      <c r="Y23" s="1325"/>
      <c r="Z23" s="1325"/>
      <c r="AA23" s="1325"/>
      <c r="AB23" s="1325"/>
      <c r="AC23" s="1325"/>
      <c r="AD23" s="1325"/>
      <c r="AE23" s="1325"/>
      <c r="AF23" s="1325"/>
      <c r="AG23" s="1325"/>
      <c r="AH23" s="1325"/>
      <c r="AI23" s="1325"/>
      <c r="AJ23" s="1325"/>
      <c r="AK23" s="1325"/>
      <c r="AL23" s="1325"/>
      <c r="AM23" s="1325"/>
      <c r="AN23" s="1325"/>
      <c r="AO23" s="1325"/>
      <c r="AP23" s="1325"/>
      <c r="AQ23" s="1325"/>
      <c r="AR23" s="1325"/>
      <c r="AS23" s="1325"/>
      <c r="AT23" s="1325"/>
      <c r="AU23" s="1325"/>
      <c r="AV23" s="1325"/>
      <c r="AW23" s="1325"/>
      <c r="AX23" s="1325"/>
      <c r="AY23" s="1325"/>
      <c r="AZ23" s="1325"/>
      <c r="BA23" s="1325"/>
      <c r="BB23" s="1325"/>
      <c r="BC23" s="1325"/>
      <c r="BD23" s="1325"/>
      <c r="BE23" s="1325"/>
      <c r="BF23" s="1325"/>
      <c r="BG23" s="1325"/>
      <c r="BH23" s="1325"/>
      <c r="BI23" s="1325"/>
      <c r="BJ23" s="1325"/>
      <c r="BK23" s="1325"/>
      <c r="BL23" s="1325"/>
      <c r="BM23" s="1325"/>
      <c r="BN23" s="1325"/>
      <c r="BO23" s="1325"/>
      <c r="BP23" s="1325"/>
      <c r="BQ23" s="1325"/>
      <c r="BR23" s="1325"/>
      <c r="BS23" s="1325"/>
      <c r="BT23" s="1325"/>
      <c r="BU23" s="1325"/>
      <c r="BV23" s="1325"/>
      <c r="BW23" s="1325"/>
      <c r="BX23" s="1325"/>
      <c r="BY23" s="1325"/>
      <c r="BZ23" s="1325"/>
      <c r="CA23" s="1325"/>
      <c r="CB23" s="1325"/>
      <c r="CC23" s="1325"/>
      <c r="CD23" s="1325"/>
      <c r="CE23" s="1325"/>
      <c r="CF23" s="1325"/>
      <c r="CG23" s="1325"/>
      <c r="CH23" s="1325"/>
      <c r="CI23" s="1325"/>
      <c r="CJ23" s="1325"/>
      <c r="CK23" s="1325"/>
      <c r="CL23" s="1325"/>
      <c r="CM23" s="1325"/>
      <c r="CN23" s="1325"/>
      <c r="CO23" s="1325"/>
      <c r="CP23" s="1325"/>
      <c r="CQ23" s="1325"/>
      <c r="CR23" s="1325"/>
      <c r="CS23" s="1325"/>
      <c r="CT23" s="1325"/>
      <c r="CU23" s="1325"/>
      <c r="CV23" s="1325"/>
      <c r="CW23" s="1325"/>
      <c r="CX23" s="1325"/>
      <c r="CY23" s="1325"/>
      <c r="CZ23" s="1325"/>
      <c r="DA23" s="1325"/>
      <c r="DB23" s="1325"/>
      <c r="DC23" s="1325"/>
      <c r="DD23" s="1325"/>
      <c r="DE23" s="1325"/>
      <c r="DF23" s="1325"/>
      <c r="DG23" s="1325"/>
      <c r="DH23" s="1325"/>
      <c r="DI23" s="1325"/>
      <c r="DJ23" s="1325"/>
      <c r="DK23" s="1325"/>
      <c r="DL23" s="1325"/>
      <c r="DM23" s="1325"/>
      <c r="DN23" s="1325"/>
      <c r="DO23" s="1325"/>
      <c r="DP23" s="1325"/>
      <c r="DQ23" s="1325"/>
      <c r="DR23" s="1325"/>
      <c r="DS23" s="1325"/>
      <c r="DT23" s="1325"/>
      <c r="DU23" s="1325"/>
      <c r="DV23" s="1325"/>
      <c r="DW23" s="1325"/>
      <c r="DX23" s="1325"/>
      <c r="DY23" s="1325"/>
      <c r="DZ23" s="1325"/>
      <c r="EA23" s="1325"/>
      <c r="EB23" s="1325"/>
      <c r="EC23" s="1325"/>
      <c r="ED23" s="1325"/>
      <c r="EE23" s="1325"/>
      <c r="EF23" s="1325"/>
      <c r="EG23" s="1325"/>
      <c r="EH23" s="1325"/>
      <c r="EI23" s="1325"/>
      <c r="EJ23" s="1325"/>
      <c r="EK23" s="1325"/>
      <c r="EL23" s="1325"/>
      <c r="EM23" s="1325"/>
      <c r="EN23" s="1325"/>
      <c r="EO23" s="1325"/>
      <c r="EP23" s="1325"/>
      <c r="EQ23" s="1325"/>
      <c r="ER23" s="1325"/>
      <c r="ES23" s="1325"/>
      <c r="ET23" s="1325"/>
      <c r="EU23" s="1325"/>
      <c r="EV23" s="1325"/>
      <c r="EW23" s="1325"/>
      <c r="EX23" s="1325"/>
      <c r="EY23" s="1325"/>
      <c r="EZ23" s="1325"/>
      <c r="FA23" s="1325"/>
      <c r="FB23" s="1325"/>
      <c r="FC23" s="1325"/>
      <c r="FD23" s="1325"/>
      <c r="FE23" s="1325"/>
      <c r="FF23" s="1325"/>
      <c r="FG23" s="1325"/>
      <c r="FH23" s="1325"/>
      <c r="FI23" s="1325"/>
      <c r="FJ23" s="1325"/>
      <c r="FK23" s="1325"/>
      <c r="FL23" s="1325"/>
      <c r="FM23" s="1325"/>
      <c r="FN23" s="1325"/>
      <c r="FO23" s="1325"/>
      <c r="FP23" s="1325"/>
      <c r="FQ23" s="1325"/>
      <c r="FR23" s="1325"/>
      <c r="FS23" s="1325"/>
      <c r="FT23" s="1325"/>
      <c r="FU23" s="1325"/>
      <c r="FV23" s="1325"/>
      <c r="FW23" s="1325"/>
      <c r="FX23" s="1325"/>
      <c r="FY23" s="1325"/>
      <c r="FZ23" s="1325"/>
      <c r="GA23" s="1325"/>
      <c r="GB23" s="1325"/>
      <c r="GC23" s="1325"/>
      <c r="GD23" s="1325"/>
      <c r="GE23" s="1325"/>
      <c r="GF23" s="1325"/>
      <c r="GG23" s="1325"/>
      <c r="GH23" s="1325"/>
      <c r="GI23" s="1325"/>
      <c r="GJ23" s="1325"/>
      <c r="GK23" s="1325"/>
      <c r="GL23" s="1325"/>
      <c r="GM23" s="1325"/>
      <c r="GN23" s="1325"/>
      <c r="GO23" s="1325"/>
      <c r="GP23" s="1325"/>
      <c r="GQ23" s="1325"/>
      <c r="GR23" s="1325"/>
      <c r="GS23" s="1325"/>
      <c r="GT23" s="1325"/>
      <c r="GU23" s="1325"/>
      <c r="GV23" s="1325"/>
      <c r="GW23" s="1325"/>
      <c r="GX23" s="1325"/>
      <c r="GY23" s="1325"/>
      <c r="GZ23" s="1325"/>
      <c r="HA23" s="1325"/>
      <c r="HB23" s="1325"/>
      <c r="HC23" s="1325"/>
      <c r="HD23" s="1325"/>
      <c r="HE23" s="1325"/>
      <c r="HF23" s="1325"/>
      <c r="HG23" s="1325"/>
      <c r="HH23" s="1325"/>
      <c r="HI23" s="1325"/>
      <c r="HJ23" s="1325"/>
      <c r="HK23" s="1325"/>
      <c r="HL23" s="1325"/>
      <c r="HM23" s="1325"/>
      <c r="HN23" s="1325"/>
      <c r="HO23" s="1325"/>
      <c r="HP23" s="1325"/>
      <c r="HQ23" s="1325"/>
      <c r="HR23" s="1325"/>
      <c r="HS23" s="1325"/>
      <c r="HT23" s="1325"/>
      <c r="HU23" s="1325"/>
      <c r="HV23" s="1325"/>
      <c r="HW23" s="1325"/>
      <c r="HX23" s="1325"/>
      <c r="HY23" s="1325"/>
      <c r="HZ23" s="1325"/>
      <c r="IA23" s="1325"/>
      <c r="IB23" s="1325"/>
      <c r="IC23" s="1325"/>
      <c r="ID23" s="1325"/>
      <c r="IE23" s="1325"/>
      <c r="IF23" s="1325"/>
      <c r="IG23" s="1325"/>
      <c r="IH23" s="1325"/>
      <c r="II23" s="1325"/>
      <c r="IJ23" s="1325"/>
      <c r="IK23" s="1325"/>
      <c r="IL23" s="1325"/>
      <c r="IM23" s="1325"/>
      <c r="IN23" s="1325"/>
      <c r="IO23" s="1325"/>
      <c r="IP23" s="1325"/>
      <c r="IQ23" s="1325"/>
      <c r="IR23" s="1325"/>
      <c r="IS23" s="1325"/>
      <c r="IT23" s="1325"/>
      <c r="IU23" s="1325"/>
      <c r="IV23" s="1325"/>
    </row>
    <row r="24" spans="1:256" ht="15.75">
      <c r="A24" s="1326" t="s">
        <v>796</v>
      </c>
      <c r="B24" s="1327" t="s">
        <v>676</v>
      </c>
      <c r="C24" s="1328"/>
      <c r="D24" s="1328"/>
      <c r="E24" s="1325"/>
      <c r="F24" s="1325"/>
      <c r="G24" s="1325"/>
      <c r="H24" s="1325"/>
      <c r="I24" s="1325"/>
      <c r="J24" s="1325"/>
      <c r="K24" s="1325"/>
      <c r="L24" s="1325"/>
      <c r="M24" s="1325"/>
      <c r="N24" s="1325"/>
      <c r="O24" s="1325"/>
      <c r="P24" s="1325"/>
      <c r="Q24" s="1325"/>
      <c r="R24" s="1325"/>
      <c r="S24" s="1325"/>
      <c r="T24" s="1325"/>
      <c r="U24" s="1325"/>
      <c r="V24" s="1325"/>
      <c r="W24" s="1325"/>
      <c r="X24" s="1325"/>
      <c r="Y24" s="1325"/>
      <c r="Z24" s="1325"/>
      <c r="AA24" s="1325"/>
      <c r="AB24" s="1325"/>
      <c r="AC24" s="1325"/>
      <c r="AD24" s="1325"/>
      <c r="AE24" s="1325"/>
      <c r="AF24" s="1325"/>
      <c r="AG24" s="1325"/>
      <c r="AH24" s="1325"/>
      <c r="AI24" s="1325"/>
      <c r="AJ24" s="1325"/>
      <c r="AK24" s="1325"/>
      <c r="AL24" s="1325"/>
      <c r="AM24" s="1325"/>
      <c r="AN24" s="1325"/>
      <c r="AO24" s="1325"/>
      <c r="AP24" s="1325"/>
      <c r="AQ24" s="1325"/>
      <c r="AR24" s="1325"/>
      <c r="AS24" s="1325"/>
      <c r="AT24" s="1325"/>
      <c r="AU24" s="1325"/>
      <c r="AV24" s="1325"/>
      <c r="AW24" s="1325"/>
      <c r="AX24" s="1325"/>
      <c r="AY24" s="1325"/>
      <c r="AZ24" s="1325"/>
      <c r="BA24" s="1325"/>
      <c r="BB24" s="1325"/>
      <c r="BC24" s="1325"/>
      <c r="BD24" s="1325"/>
      <c r="BE24" s="1325"/>
      <c r="BF24" s="1325"/>
      <c r="BG24" s="1325"/>
      <c r="BH24" s="1325"/>
      <c r="BI24" s="1325"/>
      <c r="BJ24" s="1325"/>
      <c r="BK24" s="1325"/>
      <c r="BL24" s="1325"/>
      <c r="BM24" s="1325"/>
      <c r="BN24" s="1325"/>
      <c r="BO24" s="1325"/>
      <c r="BP24" s="1325"/>
      <c r="BQ24" s="1325"/>
      <c r="BR24" s="1325"/>
      <c r="BS24" s="1325"/>
      <c r="BT24" s="1325"/>
      <c r="BU24" s="1325"/>
      <c r="BV24" s="1325"/>
      <c r="BW24" s="1325"/>
      <c r="BX24" s="1325"/>
      <c r="BY24" s="1325"/>
      <c r="BZ24" s="1325"/>
      <c r="CA24" s="1325"/>
      <c r="CB24" s="1325"/>
      <c r="CC24" s="1325"/>
      <c r="CD24" s="1325"/>
      <c r="CE24" s="1325"/>
      <c r="CF24" s="1325"/>
      <c r="CG24" s="1325"/>
      <c r="CH24" s="1325"/>
      <c r="CI24" s="1325"/>
      <c r="CJ24" s="1325"/>
      <c r="CK24" s="1325"/>
      <c r="CL24" s="1325"/>
      <c r="CM24" s="1325"/>
      <c r="CN24" s="1325"/>
      <c r="CO24" s="1325"/>
      <c r="CP24" s="1325"/>
      <c r="CQ24" s="1325"/>
      <c r="CR24" s="1325"/>
      <c r="CS24" s="1325"/>
      <c r="CT24" s="1325"/>
      <c r="CU24" s="1325"/>
      <c r="CV24" s="1325"/>
      <c r="CW24" s="1325"/>
      <c r="CX24" s="1325"/>
      <c r="CY24" s="1325"/>
      <c r="CZ24" s="1325"/>
      <c r="DA24" s="1325"/>
      <c r="DB24" s="1325"/>
      <c r="DC24" s="1325"/>
      <c r="DD24" s="1325"/>
      <c r="DE24" s="1325"/>
      <c r="DF24" s="1325"/>
      <c r="DG24" s="1325"/>
      <c r="DH24" s="1325"/>
      <c r="DI24" s="1325"/>
      <c r="DJ24" s="1325"/>
      <c r="DK24" s="1325"/>
      <c r="DL24" s="1325"/>
      <c r="DM24" s="1325"/>
      <c r="DN24" s="1325"/>
      <c r="DO24" s="1325"/>
      <c r="DP24" s="1325"/>
      <c r="DQ24" s="1325"/>
      <c r="DR24" s="1325"/>
      <c r="DS24" s="1325"/>
      <c r="DT24" s="1325"/>
      <c r="DU24" s="1325"/>
      <c r="DV24" s="1325"/>
      <c r="DW24" s="1325"/>
      <c r="DX24" s="1325"/>
      <c r="DY24" s="1325"/>
      <c r="DZ24" s="1325"/>
      <c r="EA24" s="1325"/>
      <c r="EB24" s="1325"/>
      <c r="EC24" s="1325"/>
      <c r="ED24" s="1325"/>
      <c r="EE24" s="1325"/>
      <c r="EF24" s="1325"/>
      <c r="EG24" s="1325"/>
      <c r="EH24" s="1325"/>
      <c r="EI24" s="1325"/>
      <c r="EJ24" s="1325"/>
      <c r="EK24" s="1325"/>
      <c r="EL24" s="1325"/>
      <c r="EM24" s="1325"/>
      <c r="EN24" s="1325"/>
      <c r="EO24" s="1325"/>
      <c r="EP24" s="1325"/>
      <c r="EQ24" s="1325"/>
      <c r="ER24" s="1325"/>
      <c r="ES24" s="1325"/>
      <c r="ET24" s="1325"/>
      <c r="EU24" s="1325"/>
      <c r="EV24" s="1325"/>
      <c r="EW24" s="1325"/>
      <c r="EX24" s="1325"/>
      <c r="EY24" s="1325"/>
      <c r="EZ24" s="1325"/>
      <c r="FA24" s="1325"/>
      <c r="FB24" s="1325"/>
      <c r="FC24" s="1325"/>
      <c r="FD24" s="1325"/>
      <c r="FE24" s="1325"/>
      <c r="FF24" s="1325"/>
      <c r="FG24" s="1325"/>
      <c r="FH24" s="1325"/>
      <c r="FI24" s="1325"/>
      <c r="FJ24" s="1325"/>
      <c r="FK24" s="1325"/>
      <c r="FL24" s="1325"/>
      <c r="FM24" s="1325"/>
      <c r="FN24" s="1325"/>
      <c r="FO24" s="1325"/>
      <c r="FP24" s="1325"/>
      <c r="FQ24" s="1325"/>
      <c r="FR24" s="1325"/>
      <c r="FS24" s="1325"/>
      <c r="FT24" s="1325"/>
      <c r="FU24" s="1325"/>
      <c r="FV24" s="1325"/>
      <c r="FW24" s="1325"/>
      <c r="FX24" s="1325"/>
      <c r="FY24" s="1325"/>
      <c r="FZ24" s="1325"/>
      <c r="GA24" s="1325"/>
      <c r="GB24" s="1325"/>
      <c r="GC24" s="1325"/>
      <c r="GD24" s="1325"/>
      <c r="GE24" s="1325"/>
      <c r="GF24" s="1325"/>
      <c r="GG24" s="1325"/>
      <c r="GH24" s="1325"/>
      <c r="GI24" s="1325"/>
      <c r="GJ24" s="1325"/>
      <c r="GK24" s="1325"/>
      <c r="GL24" s="1325"/>
      <c r="GM24" s="1325"/>
      <c r="GN24" s="1325"/>
      <c r="GO24" s="1325"/>
      <c r="GP24" s="1325"/>
      <c r="GQ24" s="1325"/>
      <c r="GR24" s="1325"/>
      <c r="GS24" s="1325"/>
      <c r="GT24" s="1325"/>
      <c r="GU24" s="1325"/>
      <c r="GV24" s="1325"/>
      <c r="GW24" s="1325"/>
      <c r="GX24" s="1325"/>
      <c r="GY24" s="1325"/>
      <c r="GZ24" s="1325"/>
      <c r="HA24" s="1325"/>
      <c r="HB24" s="1325"/>
      <c r="HC24" s="1325"/>
      <c r="HD24" s="1325"/>
      <c r="HE24" s="1325"/>
      <c r="HF24" s="1325"/>
      <c r="HG24" s="1325"/>
      <c r="HH24" s="1325"/>
      <c r="HI24" s="1325"/>
      <c r="HJ24" s="1325"/>
      <c r="HK24" s="1325"/>
      <c r="HL24" s="1325"/>
      <c r="HM24" s="1325"/>
      <c r="HN24" s="1325"/>
      <c r="HO24" s="1325"/>
      <c r="HP24" s="1325"/>
      <c r="HQ24" s="1325"/>
      <c r="HR24" s="1325"/>
      <c r="HS24" s="1325"/>
      <c r="HT24" s="1325"/>
      <c r="HU24" s="1325"/>
      <c r="HV24" s="1325"/>
      <c r="HW24" s="1325"/>
      <c r="HX24" s="1325"/>
      <c r="HY24" s="1325"/>
      <c r="HZ24" s="1325"/>
      <c r="IA24" s="1325"/>
      <c r="IB24" s="1325"/>
      <c r="IC24" s="1325"/>
      <c r="ID24" s="1325"/>
      <c r="IE24" s="1325"/>
      <c r="IF24" s="1325"/>
      <c r="IG24" s="1325"/>
      <c r="IH24" s="1325"/>
      <c r="II24" s="1325"/>
      <c r="IJ24" s="1325"/>
      <c r="IK24" s="1325"/>
      <c r="IL24" s="1325"/>
      <c r="IM24" s="1325"/>
      <c r="IN24" s="1325"/>
      <c r="IO24" s="1325"/>
      <c r="IP24" s="1325"/>
      <c r="IQ24" s="1325"/>
      <c r="IR24" s="1325"/>
      <c r="IS24" s="1325"/>
      <c r="IT24" s="1325"/>
      <c r="IU24" s="1325"/>
      <c r="IV24" s="1325"/>
    </row>
    <row r="25" spans="1:256" ht="15.75">
      <c r="A25" s="1326" t="s">
        <v>797</v>
      </c>
      <c r="B25" s="1327" t="s">
        <v>608</v>
      </c>
      <c r="C25" s="1328"/>
      <c r="D25" s="1328"/>
      <c r="E25" s="1325"/>
      <c r="F25" s="1325"/>
      <c r="G25" s="1325"/>
      <c r="H25" s="1325"/>
      <c r="I25" s="1325"/>
      <c r="J25" s="1325"/>
      <c r="K25" s="1325"/>
      <c r="L25" s="1325"/>
      <c r="M25" s="1325"/>
      <c r="N25" s="1325"/>
      <c r="O25" s="1325"/>
      <c r="P25" s="1325"/>
      <c r="Q25" s="1325"/>
      <c r="R25" s="1325"/>
      <c r="S25" s="1325"/>
      <c r="T25" s="1325"/>
      <c r="U25" s="1325"/>
      <c r="V25" s="1325"/>
      <c r="W25" s="1325"/>
      <c r="X25" s="1325"/>
      <c r="Y25" s="1325"/>
      <c r="Z25" s="1325"/>
      <c r="AA25" s="1325"/>
      <c r="AB25" s="1325"/>
      <c r="AC25" s="1325"/>
      <c r="AD25" s="1325"/>
      <c r="AE25" s="1325"/>
      <c r="AF25" s="1325"/>
      <c r="AG25" s="1325"/>
      <c r="AH25" s="1325"/>
      <c r="AI25" s="1325"/>
      <c r="AJ25" s="1325"/>
      <c r="AK25" s="1325"/>
      <c r="AL25" s="1325"/>
      <c r="AM25" s="1325"/>
      <c r="AN25" s="1325"/>
      <c r="AO25" s="1325"/>
      <c r="AP25" s="1325"/>
      <c r="AQ25" s="1325"/>
      <c r="AR25" s="1325"/>
      <c r="AS25" s="1325"/>
      <c r="AT25" s="1325"/>
      <c r="AU25" s="1325"/>
      <c r="AV25" s="1325"/>
      <c r="AW25" s="1325"/>
      <c r="AX25" s="1325"/>
      <c r="AY25" s="1325"/>
      <c r="AZ25" s="1325"/>
      <c r="BA25" s="1325"/>
      <c r="BB25" s="1325"/>
      <c r="BC25" s="1325"/>
      <c r="BD25" s="1325"/>
      <c r="BE25" s="1325"/>
      <c r="BF25" s="1325"/>
      <c r="BG25" s="1325"/>
      <c r="BH25" s="1325"/>
      <c r="BI25" s="1325"/>
      <c r="BJ25" s="1325"/>
      <c r="BK25" s="1325"/>
      <c r="BL25" s="1325"/>
      <c r="BM25" s="1325"/>
      <c r="BN25" s="1325"/>
      <c r="BO25" s="1325"/>
      <c r="BP25" s="1325"/>
      <c r="BQ25" s="1325"/>
      <c r="BR25" s="1325"/>
      <c r="BS25" s="1325"/>
      <c r="BT25" s="1325"/>
      <c r="BU25" s="1325"/>
      <c r="BV25" s="1325"/>
      <c r="BW25" s="1325"/>
      <c r="BX25" s="1325"/>
      <c r="BY25" s="1325"/>
      <c r="BZ25" s="1325"/>
      <c r="CA25" s="1325"/>
      <c r="CB25" s="1325"/>
      <c r="CC25" s="1325"/>
      <c r="CD25" s="1325"/>
      <c r="CE25" s="1325"/>
      <c r="CF25" s="1325"/>
      <c r="CG25" s="1325"/>
      <c r="CH25" s="1325"/>
      <c r="CI25" s="1325"/>
      <c r="CJ25" s="1325"/>
      <c r="CK25" s="1325"/>
      <c r="CL25" s="1325"/>
      <c r="CM25" s="1325"/>
      <c r="CN25" s="1325"/>
      <c r="CO25" s="1325"/>
      <c r="CP25" s="1325"/>
      <c r="CQ25" s="1325"/>
      <c r="CR25" s="1325"/>
      <c r="CS25" s="1325"/>
      <c r="CT25" s="1325"/>
      <c r="CU25" s="1325"/>
      <c r="CV25" s="1325"/>
      <c r="CW25" s="1325"/>
      <c r="CX25" s="1325"/>
      <c r="CY25" s="1325"/>
      <c r="CZ25" s="1325"/>
      <c r="DA25" s="1325"/>
      <c r="DB25" s="1325"/>
      <c r="DC25" s="1325"/>
      <c r="DD25" s="1325"/>
      <c r="DE25" s="1325"/>
      <c r="DF25" s="1325"/>
      <c r="DG25" s="1325"/>
      <c r="DH25" s="1325"/>
      <c r="DI25" s="1325"/>
      <c r="DJ25" s="1325"/>
      <c r="DK25" s="1325"/>
      <c r="DL25" s="1325"/>
      <c r="DM25" s="1325"/>
      <c r="DN25" s="1325"/>
      <c r="DO25" s="1325"/>
      <c r="DP25" s="1325"/>
      <c r="DQ25" s="1325"/>
      <c r="DR25" s="1325"/>
      <c r="DS25" s="1325"/>
      <c r="DT25" s="1325"/>
      <c r="DU25" s="1325"/>
      <c r="DV25" s="1325"/>
      <c r="DW25" s="1325"/>
      <c r="DX25" s="1325"/>
      <c r="DY25" s="1325"/>
      <c r="DZ25" s="1325"/>
      <c r="EA25" s="1325"/>
      <c r="EB25" s="1325"/>
      <c r="EC25" s="1325"/>
      <c r="ED25" s="1325"/>
      <c r="EE25" s="1325"/>
      <c r="EF25" s="1325"/>
      <c r="EG25" s="1325"/>
      <c r="EH25" s="1325"/>
      <c r="EI25" s="1325"/>
      <c r="EJ25" s="1325"/>
      <c r="EK25" s="1325"/>
      <c r="EL25" s="1325"/>
      <c r="EM25" s="1325"/>
      <c r="EN25" s="1325"/>
      <c r="EO25" s="1325"/>
      <c r="EP25" s="1325"/>
      <c r="EQ25" s="1325"/>
      <c r="ER25" s="1325"/>
      <c r="ES25" s="1325"/>
      <c r="ET25" s="1325"/>
      <c r="EU25" s="1325"/>
      <c r="EV25" s="1325"/>
      <c r="EW25" s="1325"/>
      <c r="EX25" s="1325"/>
      <c r="EY25" s="1325"/>
      <c r="EZ25" s="1325"/>
      <c r="FA25" s="1325"/>
      <c r="FB25" s="1325"/>
      <c r="FC25" s="1325"/>
      <c r="FD25" s="1325"/>
      <c r="FE25" s="1325"/>
      <c r="FF25" s="1325"/>
      <c r="FG25" s="1325"/>
      <c r="FH25" s="1325"/>
      <c r="FI25" s="1325"/>
      <c r="FJ25" s="1325"/>
      <c r="FK25" s="1325"/>
      <c r="FL25" s="1325"/>
      <c r="FM25" s="1325"/>
      <c r="FN25" s="1325"/>
      <c r="FO25" s="1325"/>
      <c r="FP25" s="1325"/>
      <c r="FQ25" s="1325"/>
      <c r="FR25" s="1325"/>
      <c r="FS25" s="1325"/>
      <c r="FT25" s="1325"/>
      <c r="FU25" s="1325"/>
      <c r="FV25" s="1325"/>
      <c r="FW25" s="1325"/>
      <c r="FX25" s="1325"/>
      <c r="FY25" s="1325"/>
      <c r="FZ25" s="1325"/>
      <c r="GA25" s="1325"/>
      <c r="GB25" s="1325"/>
      <c r="GC25" s="1325"/>
      <c r="GD25" s="1325"/>
      <c r="GE25" s="1325"/>
      <c r="GF25" s="1325"/>
      <c r="GG25" s="1325"/>
      <c r="GH25" s="1325"/>
      <c r="GI25" s="1325"/>
      <c r="GJ25" s="1325"/>
      <c r="GK25" s="1325"/>
      <c r="GL25" s="1325"/>
      <c r="GM25" s="1325"/>
      <c r="GN25" s="1325"/>
      <c r="GO25" s="1325"/>
      <c r="GP25" s="1325"/>
      <c r="GQ25" s="1325"/>
      <c r="GR25" s="1325"/>
      <c r="GS25" s="1325"/>
      <c r="GT25" s="1325"/>
      <c r="GU25" s="1325"/>
      <c r="GV25" s="1325"/>
      <c r="GW25" s="1325"/>
      <c r="GX25" s="1325"/>
      <c r="GY25" s="1325"/>
      <c r="GZ25" s="1325"/>
      <c r="HA25" s="1325"/>
      <c r="HB25" s="1325"/>
      <c r="HC25" s="1325"/>
      <c r="HD25" s="1325"/>
      <c r="HE25" s="1325"/>
      <c r="HF25" s="1325"/>
      <c r="HG25" s="1325"/>
      <c r="HH25" s="1325"/>
      <c r="HI25" s="1325"/>
      <c r="HJ25" s="1325"/>
      <c r="HK25" s="1325"/>
      <c r="HL25" s="1325"/>
      <c r="HM25" s="1325"/>
      <c r="HN25" s="1325"/>
      <c r="HO25" s="1325"/>
      <c r="HP25" s="1325"/>
      <c r="HQ25" s="1325"/>
      <c r="HR25" s="1325"/>
      <c r="HS25" s="1325"/>
      <c r="HT25" s="1325"/>
      <c r="HU25" s="1325"/>
      <c r="HV25" s="1325"/>
      <c r="HW25" s="1325"/>
      <c r="HX25" s="1325"/>
      <c r="HY25" s="1325"/>
      <c r="HZ25" s="1325"/>
      <c r="IA25" s="1325"/>
      <c r="IB25" s="1325"/>
      <c r="IC25" s="1325"/>
      <c r="ID25" s="1325"/>
      <c r="IE25" s="1325"/>
      <c r="IF25" s="1325"/>
      <c r="IG25" s="1325"/>
      <c r="IH25" s="1325"/>
      <c r="II25" s="1325"/>
      <c r="IJ25" s="1325"/>
      <c r="IK25" s="1325"/>
      <c r="IL25" s="1325"/>
      <c r="IM25" s="1325"/>
      <c r="IN25" s="1325"/>
      <c r="IO25" s="1325"/>
      <c r="IP25" s="1325"/>
      <c r="IQ25" s="1325"/>
      <c r="IR25" s="1325"/>
      <c r="IS25" s="1325"/>
      <c r="IT25" s="1325"/>
      <c r="IU25" s="1325"/>
      <c r="IV25" s="1325"/>
    </row>
    <row r="26" spans="1:256" ht="15.75">
      <c r="A26" s="1326" t="s">
        <v>798</v>
      </c>
      <c r="B26" s="1327" t="s">
        <v>677</v>
      </c>
      <c r="C26" s="1328"/>
      <c r="D26" s="1328"/>
      <c r="E26" s="1325"/>
      <c r="F26" s="1325"/>
      <c r="G26" s="1325"/>
      <c r="H26" s="1325"/>
      <c r="I26" s="1325"/>
      <c r="J26" s="1325"/>
      <c r="K26" s="1325"/>
      <c r="L26" s="1325"/>
      <c r="M26" s="1325"/>
      <c r="N26" s="1325"/>
      <c r="O26" s="1325"/>
      <c r="P26" s="1325"/>
      <c r="Q26" s="1325"/>
      <c r="R26" s="1325"/>
      <c r="S26" s="1325"/>
      <c r="T26" s="1325"/>
      <c r="U26" s="1325"/>
      <c r="V26" s="1325"/>
      <c r="W26" s="1325"/>
      <c r="X26" s="1325"/>
      <c r="Y26" s="1325"/>
      <c r="Z26" s="1325"/>
      <c r="AA26" s="1325"/>
      <c r="AB26" s="1325"/>
      <c r="AC26" s="1325"/>
      <c r="AD26" s="1325"/>
      <c r="AE26" s="1325"/>
      <c r="AF26" s="1325"/>
      <c r="AG26" s="1325"/>
      <c r="AH26" s="1325"/>
      <c r="AI26" s="1325"/>
      <c r="AJ26" s="1325"/>
      <c r="AK26" s="1325"/>
      <c r="AL26" s="1325"/>
      <c r="AM26" s="1325"/>
      <c r="AN26" s="1325"/>
      <c r="AO26" s="1325"/>
      <c r="AP26" s="1325"/>
      <c r="AQ26" s="1325"/>
      <c r="AR26" s="1325"/>
      <c r="AS26" s="1325"/>
      <c r="AT26" s="1325"/>
      <c r="AU26" s="1325"/>
      <c r="AV26" s="1325"/>
      <c r="AW26" s="1325"/>
      <c r="AX26" s="1325"/>
      <c r="AY26" s="1325"/>
      <c r="AZ26" s="1325"/>
      <c r="BA26" s="1325"/>
      <c r="BB26" s="1325"/>
      <c r="BC26" s="1325"/>
      <c r="BD26" s="1325"/>
      <c r="BE26" s="1325"/>
      <c r="BF26" s="1325"/>
      <c r="BG26" s="1325"/>
      <c r="BH26" s="1325"/>
      <c r="BI26" s="1325"/>
      <c r="BJ26" s="1325"/>
      <c r="BK26" s="1325"/>
      <c r="BL26" s="1325"/>
      <c r="BM26" s="1325"/>
      <c r="BN26" s="1325"/>
      <c r="BO26" s="1325"/>
      <c r="BP26" s="1325"/>
      <c r="BQ26" s="1325"/>
      <c r="BR26" s="1325"/>
      <c r="BS26" s="1325"/>
      <c r="BT26" s="1325"/>
      <c r="BU26" s="1325"/>
      <c r="BV26" s="1325"/>
      <c r="BW26" s="1325"/>
      <c r="BX26" s="1325"/>
      <c r="BY26" s="1325"/>
      <c r="BZ26" s="1325"/>
      <c r="CA26" s="1325"/>
      <c r="CB26" s="1325"/>
      <c r="CC26" s="1325"/>
      <c r="CD26" s="1325"/>
      <c r="CE26" s="1325"/>
      <c r="CF26" s="1325"/>
      <c r="CG26" s="1325"/>
      <c r="CH26" s="1325"/>
      <c r="CI26" s="1325"/>
      <c r="CJ26" s="1325"/>
      <c r="CK26" s="1325"/>
      <c r="CL26" s="1325"/>
      <c r="CM26" s="1325"/>
      <c r="CN26" s="1325"/>
      <c r="CO26" s="1325"/>
      <c r="CP26" s="1325"/>
      <c r="CQ26" s="1325"/>
      <c r="CR26" s="1325"/>
      <c r="CS26" s="1325"/>
      <c r="CT26" s="1325"/>
      <c r="CU26" s="1325"/>
      <c r="CV26" s="1325"/>
      <c r="CW26" s="1325"/>
      <c r="CX26" s="1325"/>
      <c r="CY26" s="1325"/>
      <c r="CZ26" s="1325"/>
      <c r="DA26" s="1325"/>
      <c r="DB26" s="1325"/>
      <c r="DC26" s="1325"/>
      <c r="DD26" s="1325"/>
      <c r="DE26" s="1325"/>
      <c r="DF26" s="1325"/>
      <c r="DG26" s="1325"/>
      <c r="DH26" s="1325"/>
      <c r="DI26" s="1325"/>
      <c r="DJ26" s="1325"/>
      <c r="DK26" s="1325"/>
      <c r="DL26" s="1325"/>
      <c r="DM26" s="1325"/>
      <c r="DN26" s="1325"/>
      <c r="DO26" s="1325"/>
      <c r="DP26" s="1325"/>
      <c r="DQ26" s="1325"/>
      <c r="DR26" s="1325"/>
      <c r="DS26" s="1325"/>
      <c r="DT26" s="1325"/>
      <c r="DU26" s="1325"/>
      <c r="DV26" s="1325"/>
      <c r="DW26" s="1325"/>
      <c r="DX26" s="1325"/>
      <c r="DY26" s="1325"/>
      <c r="DZ26" s="1325"/>
      <c r="EA26" s="1325"/>
      <c r="EB26" s="1325"/>
      <c r="EC26" s="1325"/>
      <c r="ED26" s="1325"/>
      <c r="EE26" s="1325"/>
      <c r="EF26" s="1325"/>
      <c r="EG26" s="1325"/>
      <c r="EH26" s="1325"/>
      <c r="EI26" s="1325"/>
      <c r="EJ26" s="1325"/>
      <c r="EK26" s="1325"/>
      <c r="EL26" s="1325"/>
      <c r="EM26" s="1325"/>
      <c r="EN26" s="1325"/>
      <c r="EO26" s="1325"/>
      <c r="EP26" s="1325"/>
      <c r="EQ26" s="1325"/>
      <c r="ER26" s="1325"/>
      <c r="ES26" s="1325"/>
      <c r="ET26" s="1325"/>
      <c r="EU26" s="1325"/>
      <c r="EV26" s="1325"/>
      <c r="EW26" s="1325"/>
      <c r="EX26" s="1325"/>
      <c r="EY26" s="1325"/>
      <c r="EZ26" s="1325"/>
      <c r="FA26" s="1325"/>
      <c r="FB26" s="1325"/>
      <c r="FC26" s="1325"/>
      <c r="FD26" s="1325"/>
      <c r="FE26" s="1325"/>
      <c r="FF26" s="1325"/>
      <c r="FG26" s="1325"/>
      <c r="FH26" s="1325"/>
      <c r="FI26" s="1325"/>
      <c r="FJ26" s="1325"/>
      <c r="FK26" s="1325"/>
      <c r="FL26" s="1325"/>
      <c r="FM26" s="1325"/>
      <c r="FN26" s="1325"/>
      <c r="FO26" s="1325"/>
      <c r="FP26" s="1325"/>
      <c r="FQ26" s="1325"/>
      <c r="FR26" s="1325"/>
      <c r="FS26" s="1325"/>
      <c r="FT26" s="1325"/>
      <c r="FU26" s="1325"/>
      <c r="FV26" s="1325"/>
      <c r="FW26" s="1325"/>
      <c r="FX26" s="1325"/>
      <c r="FY26" s="1325"/>
      <c r="FZ26" s="1325"/>
      <c r="GA26" s="1325"/>
      <c r="GB26" s="1325"/>
      <c r="GC26" s="1325"/>
      <c r="GD26" s="1325"/>
      <c r="GE26" s="1325"/>
      <c r="GF26" s="1325"/>
      <c r="GG26" s="1325"/>
      <c r="GH26" s="1325"/>
      <c r="GI26" s="1325"/>
      <c r="GJ26" s="1325"/>
      <c r="GK26" s="1325"/>
      <c r="GL26" s="1325"/>
      <c r="GM26" s="1325"/>
      <c r="GN26" s="1325"/>
      <c r="GO26" s="1325"/>
      <c r="GP26" s="1325"/>
      <c r="GQ26" s="1325"/>
      <c r="GR26" s="1325"/>
      <c r="GS26" s="1325"/>
      <c r="GT26" s="1325"/>
      <c r="GU26" s="1325"/>
      <c r="GV26" s="1325"/>
      <c r="GW26" s="1325"/>
      <c r="GX26" s="1325"/>
      <c r="GY26" s="1325"/>
      <c r="GZ26" s="1325"/>
      <c r="HA26" s="1325"/>
      <c r="HB26" s="1325"/>
      <c r="HC26" s="1325"/>
      <c r="HD26" s="1325"/>
      <c r="HE26" s="1325"/>
      <c r="HF26" s="1325"/>
      <c r="HG26" s="1325"/>
      <c r="HH26" s="1325"/>
      <c r="HI26" s="1325"/>
      <c r="HJ26" s="1325"/>
      <c r="HK26" s="1325"/>
      <c r="HL26" s="1325"/>
      <c r="HM26" s="1325"/>
      <c r="HN26" s="1325"/>
      <c r="HO26" s="1325"/>
      <c r="HP26" s="1325"/>
      <c r="HQ26" s="1325"/>
      <c r="HR26" s="1325"/>
      <c r="HS26" s="1325"/>
      <c r="HT26" s="1325"/>
      <c r="HU26" s="1325"/>
      <c r="HV26" s="1325"/>
      <c r="HW26" s="1325"/>
      <c r="HX26" s="1325"/>
      <c r="HY26" s="1325"/>
      <c r="HZ26" s="1325"/>
      <c r="IA26" s="1325"/>
      <c r="IB26" s="1325"/>
      <c r="IC26" s="1325"/>
      <c r="ID26" s="1325"/>
      <c r="IE26" s="1325"/>
      <c r="IF26" s="1325"/>
      <c r="IG26" s="1325"/>
      <c r="IH26" s="1325"/>
      <c r="II26" s="1325"/>
      <c r="IJ26" s="1325"/>
      <c r="IK26" s="1325"/>
      <c r="IL26" s="1325"/>
      <c r="IM26" s="1325"/>
      <c r="IN26" s="1325"/>
      <c r="IO26" s="1325"/>
      <c r="IP26" s="1325"/>
      <c r="IQ26" s="1325"/>
      <c r="IR26" s="1325"/>
      <c r="IS26" s="1325"/>
      <c r="IT26" s="1325"/>
      <c r="IU26" s="1325"/>
      <c r="IV26" s="1325"/>
    </row>
    <row r="27" spans="1:256" ht="15.75">
      <c r="A27" s="1326" t="s">
        <v>799</v>
      </c>
      <c r="B27" s="1327" t="s">
        <v>678</v>
      </c>
      <c r="C27" s="1328"/>
      <c r="D27" s="1328"/>
      <c r="E27" s="1325"/>
      <c r="F27" s="1325"/>
      <c r="G27" s="1325"/>
      <c r="H27" s="1325"/>
      <c r="I27" s="1325"/>
      <c r="J27" s="1325"/>
      <c r="K27" s="1325"/>
      <c r="L27" s="1325"/>
      <c r="M27" s="1325"/>
      <c r="N27" s="1325"/>
      <c r="O27" s="1325"/>
      <c r="P27" s="1325"/>
      <c r="Q27" s="1325"/>
      <c r="R27" s="1325"/>
      <c r="S27" s="1325"/>
      <c r="T27" s="1325"/>
      <c r="U27" s="1325"/>
      <c r="V27" s="1325"/>
      <c r="W27" s="1325"/>
      <c r="X27" s="1325"/>
      <c r="Y27" s="1325"/>
      <c r="Z27" s="1325"/>
      <c r="AA27" s="1325"/>
      <c r="AB27" s="1325"/>
      <c r="AC27" s="1325"/>
      <c r="AD27" s="1325"/>
      <c r="AE27" s="1325"/>
      <c r="AF27" s="1325"/>
      <c r="AG27" s="1325"/>
      <c r="AH27" s="1325"/>
      <c r="AI27" s="1325"/>
      <c r="AJ27" s="1325"/>
      <c r="AK27" s="1325"/>
      <c r="AL27" s="1325"/>
      <c r="AM27" s="1325"/>
      <c r="AN27" s="1325"/>
      <c r="AO27" s="1325"/>
      <c r="AP27" s="1325"/>
      <c r="AQ27" s="1325"/>
      <c r="AR27" s="1325"/>
      <c r="AS27" s="1325"/>
      <c r="AT27" s="1325"/>
      <c r="AU27" s="1325"/>
      <c r="AV27" s="1325"/>
      <c r="AW27" s="1325"/>
      <c r="AX27" s="1325"/>
      <c r="AY27" s="1325"/>
      <c r="AZ27" s="1325"/>
      <c r="BA27" s="1325"/>
      <c r="BB27" s="1325"/>
      <c r="BC27" s="1325"/>
      <c r="BD27" s="1325"/>
      <c r="BE27" s="1325"/>
      <c r="BF27" s="1325"/>
      <c r="BG27" s="1325"/>
      <c r="BH27" s="1325"/>
      <c r="BI27" s="1325"/>
      <c r="BJ27" s="1325"/>
      <c r="BK27" s="1325"/>
      <c r="BL27" s="1325"/>
      <c r="BM27" s="1325"/>
      <c r="BN27" s="1325"/>
      <c r="BO27" s="1325"/>
      <c r="BP27" s="1325"/>
      <c r="BQ27" s="1325"/>
      <c r="BR27" s="1325"/>
      <c r="BS27" s="1325"/>
      <c r="BT27" s="1325"/>
      <c r="BU27" s="1325"/>
      <c r="BV27" s="1325"/>
      <c r="BW27" s="1325"/>
      <c r="BX27" s="1325"/>
      <c r="BY27" s="1325"/>
      <c r="BZ27" s="1325"/>
      <c r="CA27" s="1325"/>
      <c r="CB27" s="1325"/>
      <c r="CC27" s="1325"/>
      <c r="CD27" s="1325"/>
      <c r="CE27" s="1325"/>
      <c r="CF27" s="1325"/>
      <c r="CG27" s="1325"/>
      <c r="CH27" s="1325"/>
      <c r="CI27" s="1325"/>
      <c r="CJ27" s="1325"/>
      <c r="CK27" s="1325"/>
      <c r="CL27" s="1325"/>
      <c r="CM27" s="1325"/>
      <c r="CN27" s="1325"/>
      <c r="CO27" s="1325"/>
      <c r="CP27" s="1325"/>
      <c r="CQ27" s="1325"/>
      <c r="CR27" s="1325"/>
      <c r="CS27" s="1325"/>
      <c r="CT27" s="1325"/>
      <c r="CU27" s="1325"/>
      <c r="CV27" s="1325"/>
      <c r="CW27" s="1325"/>
      <c r="CX27" s="1325"/>
      <c r="CY27" s="1325"/>
      <c r="CZ27" s="1325"/>
      <c r="DA27" s="1325"/>
      <c r="DB27" s="1325"/>
      <c r="DC27" s="1325"/>
      <c r="DD27" s="1325"/>
      <c r="DE27" s="1325"/>
      <c r="DF27" s="1325"/>
      <c r="DG27" s="1325"/>
      <c r="DH27" s="1325"/>
      <c r="DI27" s="1325"/>
      <c r="DJ27" s="1325"/>
      <c r="DK27" s="1325"/>
      <c r="DL27" s="1325"/>
      <c r="DM27" s="1325"/>
      <c r="DN27" s="1325"/>
      <c r="DO27" s="1325"/>
      <c r="DP27" s="1325"/>
      <c r="DQ27" s="1325"/>
      <c r="DR27" s="1325"/>
      <c r="DS27" s="1325"/>
      <c r="DT27" s="1325"/>
      <c r="DU27" s="1325"/>
      <c r="DV27" s="1325"/>
      <c r="DW27" s="1325"/>
      <c r="DX27" s="1325"/>
      <c r="DY27" s="1325"/>
      <c r="DZ27" s="1325"/>
      <c r="EA27" s="1325"/>
      <c r="EB27" s="1325"/>
      <c r="EC27" s="1325"/>
      <c r="ED27" s="1325"/>
      <c r="EE27" s="1325"/>
      <c r="EF27" s="1325"/>
      <c r="EG27" s="1325"/>
      <c r="EH27" s="1325"/>
      <c r="EI27" s="1325"/>
      <c r="EJ27" s="1325"/>
      <c r="EK27" s="1325"/>
      <c r="EL27" s="1325"/>
      <c r="EM27" s="1325"/>
      <c r="EN27" s="1325"/>
      <c r="EO27" s="1325"/>
      <c r="EP27" s="1325"/>
      <c r="EQ27" s="1325"/>
      <c r="ER27" s="1325"/>
      <c r="ES27" s="1325"/>
      <c r="ET27" s="1325"/>
      <c r="EU27" s="1325"/>
      <c r="EV27" s="1325"/>
      <c r="EW27" s="1325"/>
      <c r="EX27" s="1325"/>
      <c r="EY27" s="1325"/>
      <c r="EZ27" s="1325"/>
      <c r="FA27" s="1325"/>
      <c r="FB27" s="1325"/>
      <c r="FC27" s="1325"/>
      <c r="FD27" s="1325"/>
      <c r="FE27" s="1325"/>
      <c r="FF27" s="1325"/>
      <c r="FG27" s="1325"/>
      <c r="FH27" s="1325"/>
      <c r="FI27" s="1325"/>
      <c r="FJ27" s="1325"/>
      <c r="FK27" s="1325"/>
      <c r="FL27" s="1325"/>
      <c r="FM27" s="1325"/>
      <c r="FN27" s="1325"/>
      <c r="FO27" s="1325"/>
      <c r="FP27" s="1325"/>
      <c r="FQ27" s="1325"/>
      <c r="FR27" s="1325"/>
      <c r="FS27" s="1325"/>
      <c r="FT27" s="1325"/>
      <c r="FU27" s="1325"/>
      <c r="FV27" s="1325"/>
      <c r="FW27" s="1325"/>
      <c r="FX27" s="1325"/>
      <c r="FY27" s="1325"/>
      <c r="FZ27" s="1325"/>
      <c r="GA27" s="1325"/>
      <c r="GB27" s="1325"/>
      <c r="GC27" s="1325"/>
      <c r="GD27" s="1325"/>
      <c r="GE27" s="1325"/>
      <c r="GF27" s="1325"/>
      <c r="GG27" s="1325"/>
      <c r="GH27" s="1325"/>
      <c r="GI27" s="1325"/>
      <c r="GJ27" s="1325"/>
      <c r="GK27" s="1325"/>
      <c r="GL27" s="1325"/>
      <c r="GM27" s="1325"/>
      <c r="GN27" s="1325"/>
      <c r="GO27" s="1325"/>
      <c r="GP27" s="1325"/>
      <c r="GQ27" s="1325"/>
      <c r="GR27" s="1325"/>
      <c r="GS27" s="1325"/>
      <c r="GT27" s="1325"/>
      <c r="GU27" s="1325"/>
      <c r="GV27" s="1325"/>
      <c r="GW27" s="1325"/>
      <c r="GX27" s="1325"/>
      <c r="GY27" s="1325"/>
      <c r="GZ27" s="1325"/>
      <c r="HA27" s="1325"/>
      <c r="HB27" s="1325"/>
      <c r="HC27" s="1325"/>
      <c r="HD27" s="1325"/>
      <c r="HE27" s="1325"/>
      <c r="HF27" s="1325"/>
      <c r="HG27" s="1325"/>
      <c r="HH27" s="1325"/>
      <c r="HI27" s="1325"/>
      <c r="HJ27" s="1325"/>
      <c r="HK27" s="1325"/>
      <c r="HL27" s="1325"/>
      <c r="HM27" s="1325"/>
      <c r="HN27" s="1325"/>
      <c r="HO27" s="1325"/>
      <c r="HP27" s="1325"/>
      <c r="HQ27" s="1325"/>
      <c r="HR27" s="1325"/>
      <c r="HS27" s="1325"/>
      <c r="HT27" s="1325"/>
      <c r="HU27" s="1325"/>
      <c r="HV27" s="1325"/>
      <c r="HW27" s="1325"/>
      <c r="HX27" s="1325"/>
      <c r="HY27" s="1325"/>
      <c r="HZ27" s="1325"/>
      <c r="IA27" s="1325"/>
      <c r="IB27" s="1325"/>
      <c r="IC27" s="1325"/>
      <c r="ID27" s="1325"/>
      <c r="IE27" s="1325"/>
      <c r="IF27" s="1325"/>
      <c r="IG27" s="1325"/>
      <c r="IH27" s="1325"/>
      <c r="II27" s="1325"/>
      <c r="IJ27" s="1325"/>
      <c r="IK27" s="1325"/>
      <c r="IL27" s="1325"/>
      <c r="IM27" s="1325"/>
      <c r="IN27" s="1325"/>
      <c r="IO27" s="1325"/>
      <c r="IP27" s="1325"/>
      <c r="IQ27" s="1325"/>
      <c r="IR27" s="1325"/>
      <c r="IS27" s="1325"/>
      <c r="IT27" s="1325"/>
      <c r="IU27" s="1325"/>
      <c r="IV27" s="1325"/>
    </row>
    <row r="28" spans="1:256" ht="15.75">
      <c r="A28" s="1329" t="s">
        <v>800</v>
      </c>
      <c r="B28" s="1330" t="s">
        <v>679</v>
      </c>
      <c r="C28" s="1331">
        <f>SUM(C29:C32)</f>
        <v>26726474</v>
      </c>
      <c r="D28" s="1331">
        <f>SUM(D29:D32)</f>
        <v>26726474</v>
      </c>
      <c r="E28" s="1325"/>
      <c r="F28" s="1325"/>
      <c r="G28" s="1325"/>
      <c r="H28" s="1325"/>
      <c r="I28" s="1325"/>
      <c r="J28" s="1325"/>
      <c r="K28" s="1325"/>
      <c r="L28" s="1325"/>
      <c r="M28" s="1325"/>
      <c r="N28" s="1325"/>
      <c r="O28" s="1325"/>
      <c r="P28" s="1325"/>
      <c r="Q28" s="1325"/>
      <c r="R28" s="1325"/>
      <c r="S28" s="1325"/>
      <c r="T28" s="1325"/>
      <c r="U28" s="1325"/>
      <c r="V28" s="1325"/>
      <c r="W28" s="1325"/>
      <c r="X28" s="1325"/>
      <c r="Y28" s="1325"/>
      <c r="Z28" s="1325"/>
      <c r="AA28" s="1325"/>
      <c r="AB28" s="1325"/>
      <c r="AC28" s="1325"/>
      <c r="AD28" s="1325"/>
      <c r="AE28" s="1325"/>
      <c r="AF28" s="1325"/>
      <c r="AG28" s="1325"/>
      <c r="AH28" s="1325"/>
      <c r="AI28" s="1325"/>
      <c r="AJ28" s="1325"/>
      <c r="AK28" s="1325"/>
      <c r="AL28" s="1325"/>
      <c r="AM28" s="1325"/>
      <c r="AN28" s="1325"/>
      <c r="AO28" s="1325"/>
      <c r="AP28" s="1325"/>
      <c r="AQ28" s="1325"/>
      <c r="AR28" s="1325"/>
      <c r="AS28" s="1325"/>
      <c r="AT28" s="1325"/>
      <c r="AU28" s="1325"/>
      <c r="AV28" s="1325"/>
      <c r="AW28" s="1325"/>
      <c r="AX28" s="1325"/>
      <c r="AY28" s="1325"/>
      <c r="AZ28" s="1325"/>
      <c r="BA28" s="1325"/>
      <c r="BB28" s="1325"/>
      <c r="BC28" s="1325"/>
      <c r="BD28" s="1325"/>
      <c r="BE28" s="1325"/>
      <c r="BF28" s="1325"/>
      <c r="BG28" s="1325"/>
      <c r="BH28" s="1325"/>
      <c r="BI28" s="1325"/>
      <c r="BJ28" s="1325"/>
      <c r="BK28" s="1325"/>
      <c r="BL28" s="1325"/>
      <c r="BM28" s="1325"/>
      <c r="BN28" s="1325"/>
      <c r="BO28" s="1325"/>
      <c r="BP28" s="1325"/>
      <c r="BQ28" s="1325"/>
      <c r="BR28" s="1325"/>
      <c r="BS28" s="1325"/>
      <c r="BT28" s="1325"/>
      <c r="BU28" s="1325"/>
      <c r="BV28" s="1325"/>
      <c r="BW28" s="1325"/>
      <c r="BX28" s="1325"/>
      <c r="BY28" s="1325"/>
      <c r="BZ28" s="1325"/>
      <c r="CA28" s="1325"/>
      <c r="CB28" s="1325"/>
      <c r="CC28" s="1325"/>
      <c r="CD28" s="1325"/>
      <c r="CE28" s="1325"/>
      <c r="CF28" s="1325"/>
      <c r="CG28" s="1325"/>
      <c r="CH28" s="1325"/>
      <c r="CI28" s="1325"/>
      <c r="CJ28" s="1325"/>
      <c r="CK28" s="1325"/>
      <c r="CL28" s="1325"/>
      <c r="CM28" s="1325"/>
      <c r="CN28" s="1325"/>
      <c r="CO28" s="1325"/>
      <c r="CP28" s="1325"/>
      <c r="CQ28" s="1325"/>
      <c r="CR28" s="1325"/>
      <c r="CS28" s="1325"/>
      <c r="CT28" s="1325"/>
      <c r="CU28" s="1325"/>
      <c r="CV28" s="1325"/>
      <c r="CW28" s="1325"/>
      <c r="CX28" s="1325"/>
      <c r="CY28" s="1325"/>
      <c r="CZ28" s="1325"/>
      <c r="DA28" s="1325"/>
      <c r="DB28" s="1325"/>
      <c r="DC28" s="1325"/>
      <c r="DD28" s="1325"/>
      <c r="DE28" s="1325"/>
      <c r="DF28" s="1325"/>
      <c r="DG28" s="1325"/>
      <c r="DH28" s="1325"/>
      <c r="DI28" s="1325"/>
      <c r="DJ28" s="1325"/>
      <c r="DK28" s="1325"/>
      <c r="DL28" s="1325"/>
      <c r="DM28" s="1325"/>
      <c r="DN28" s="1325"/>
      <c r="DO28" s="1325"/>
      <c r="DP28" s="1325"/>
      <c r="DQ28" s="1325"/>
      <c r="DR28" s="1325"/>
      <c r="DS28" s="1325"/>
      <c r="DT28" s="1325"/>
      <c r="DU28" s="1325"/>
      <c r="DV28" s="1325"/>
      <c r="DW28" s="1325"/>
      <c r="DX28" s="1325"/>
      <c r="DY28" s="1325"/>
      <c r="DZ28" s="1325"/>
      <c r="EA28" s="1325"/>
      <c r="EB28" s="1325"/>
      <c r="EC28" s="1325"/>
      <c r="ED28" s="1325"/>
      <c r="EE28" s="1325"/>
      <c r="EF28" s="1325"/>
      <c r="EG28" s="1325"/>
      <c r="EH28" s="1325"/>
      <c r="EI28" s="1325"/>
      <c r="EJ28" s="1325"/>
      <c r="EK28" s="1325"/>
      <c r="EL28" s="1325"/>
      <c r="EM28" s="1325"/>
      <c r="EN28" s="1325"/>
      <c r="EO28" s="1325"/>
      <c r="EP28" s="1325"/>
      <c r="EQ28" s="1325"/>
      <c r="ER28" s="1325"/>
      <c r="ES28" s="1325"/>
      <c r="ET28" s="1325"/>
      <c r="EU28" s="1325"/>
      <c r="EV28" s="1325"/>
      <c r="EW28" s="1325"/>
      <c r="EX28" s="1325"/>
      <c r="EY28" s="1325"/>
      <c r="EZ28" s="1325"/>
      <c r="FA28" s="1325"/>
      <c r="FB28" s="1325"/>
      <c r="FC28" s="1325"/>
      <c r="FD28" s="1325"/>
      <c r="FE28" s="1325"/>
      <c r="FF28" s="1325"/>
      <c r="FG28" s="1325"/>
      <c r="FH28" s="1325"/>
      <c r="FI28" s="1325"/>
      <c r="FJ28" s="1325"/>
      <c r="FK28" s="1325"/>
      <c r="FL28" s="1325"/>
      <c r="FM28" s="1325"/>
      <c r="FN28" s="1325"/>
      <c r="FO28" s="1325"/>
      <c r="FP28" s="1325"/>
      <c r="FQ28" s="1325"/>
      <c r="FR28" s="1325"/>
      <c r="FS28" s="1325"/>
      <c r="FT28" s="1325"/>
      <c r="FU28" s="1325"/>
      <c r="FV28" s="1325"/>
      <c r="FW28" s="1325"/>
      <c r="FX28" s="1325"/>
      <c r="FY28" s="1325"/>
      <c r="FZ28" s="1325"/>
      <c r="GA28" s="1325"/>
      <c r="GB28" s="1325"/>
      <c r="GC28" s="1325"/>
      <c r="GD28" s="1325"/>
      <c r="GE28" s="1325"/>
      <c r="GF28" s="1325"/>
      <c r="GG28" s="1325"/>
      <c r="GH28" s="1325"/>
      <c r="GI28" s="1325"/>
      <c r="GJ28" s="1325"/>
      <c r="GK28" s="1325"/>
      <c r="GL28" s="1325"/>
      <c r="GM28" s="1325"/>
      <c r="GN28" s="1325"/>
      <c r="GO28" s="1325"/>
      <c r="GP28" s="1325"/>
      <c r="GQ28" s="1325"/>
      <c r="GR28" s="1325"/>
      <c r="GS28" s="1325"/>
      <c r="GT28" s="1325"/>
      <c r="GU28" s="1325"/>
      <c r="GV28" s="1325"/>
      <c r="GW28" s="1325"/>
      <c r="GX28" s="1325"/>
      <c r="GY28" s="1325"/>
      <c r="GZ28" s="1325"/>
      <c r="HA28" s="1325"/>
      <c r="HB28" s="1325"/>
      <c r="HC28" s="1325"/>
      <c r="HD28" s="1325"/>
      <c r="HE28" s="1325"/>
      <c r="HF28" s="1325"/>
      <c r="HG28" s="1325"/>
      <c r="HH28" s="1325"/>
      <c r="HI28" s="1325"/>
      <c r="HJ28" s="1325"/>
      <c r="HK28" s="1325"/>
      <c r="HL28" s="1325"/>
      <c r="HM28" s="1325"/>
      <c r="HN28" s="1325"/>
      <c r="HO28" s="1325"/>
      <c r="HP28" s="1325"/>
      <c r="HQ28" s="1325"/>
      <c r="HR28" s="1325"/>
      <c r="HS28" s="1325"/>
      <c r="HT28" s="1325"/>
      <c r="HU28" s="1325"/>
      <c r="HV28" s="1325"/>
      <c r="HW28" s="1325"/>
      <c r="HX28" s="1325"/>
      <c r="HY28" s="1325"/>
      <c r="HZ28" s="1325"/>
      <c r="IA28" s="1325"/>
      <c r="IB28" s="1325"/>
      <c r="IC28" s="1325"/>
      <c r="ID28" s="1325"/>
      <c r="IE28" s="1325"/>
      <c r="IF28" s="1325"/>
      <c r="IG28" s="1325"/>
      <c r="IH28" s="1325"/>
      <c r="II28" s="1325"/>
      <c r="IJ28" s="1325"/>
      <c r="IK28" s="1325"/>
      <c r="IL28" s="1325"/>
      <c r="IM28" s="1325"/>
      <c r="IN28" s="1325"/>
      <c r="IO28" s="1325"/>
      <c r="IP28" s="1325"/>
      <c r="IQ28" s="1325"/>
      <c r="IR28" s="1325"/>
      <c r="IS28" s="1325"/>
      <c r="IT28" s="1325"/>
      <c r="IU28" s="1325"/>
      <c r="IV28" s="1325"/>
    </row>
    <row r="29" spans="1:256" ht="15.75">
      <c r="A29" s="1326" t="s">
        <v>801</v>
      </c>
      <c r="B29" s="1327" t="s">
        <v>680</v>
      </c>
      <c r="C29" s="1328">
        <v>26726474</v>
      </c>
      <c r="D29" s="1328">
        <f>+C29</f>
        <v>26726474</v>
      </c>
      <c r="E29" s="1325"/>
      <c r="F29" s="1325"/>
      <c r="G29" s="1325"/>
      <c r="H29" s="1325"/>
      <c r="I29" s="1325"/>
      <c r="J29" s="1325"/>
      <c r="K29" s="1325"/>
      <c r="L29" s="1325"/>
      <c r="M29" s="1325"/>
      <c r="N29" s="1325"/>
      <c r="O29" s="1325"/>
      <c r="P29" s="1325"/>
      <c r="Q29" s="1325"/>
      <c r="R29" s="1325"/>
      <c r="S29" s="1325"/>
      <c r="T29" s="1325"/>
      <c r="U29" s="1325"/>
      <c r="V29" s="1325"/>
      <c r="W29" s="1325"/>
      <c r="X29" s="1325"/>
      <c r="Y29" s="1325"/>
      <c r="Z29" s="1325"/>
      <c r="AA29" s="1325"/>
      <c r="AB29" s="1325"/>
      <c r="AC29" s="1325"/>
      <c r="AD29" s="1325"/>
      <c r="AE29" s="1325"/>
      <c r="AF29" s="1325"/>
      <c r="AG29" s="1325"/>
      <c r="AH29" s="1325"/>
      <c r="AI29" s="1325"/>
      <c r="AJ29" s="1325"/>
      <c r="AK29" s="1325"/>
      <c r="AL29" s="1325"/>
      <c r="AM29" s="1325"/>
      <c r="AN29" s="1325"/>
      <c r="AO29" s="1325"/>
      <c r="AP29" s="1325"/>
      <c r="AQ29" s="1325"/>
      <c r="AR29" s="1325"/>
      <c r="AS29" s="1325"/>
      <c r="AT29" s="1325"/>
      <c r="AU29" s="1325"/>
      <c r="AV29" s="1325"/>
      <c r="AW29" s="1325"/>
      <c r="AX29" s="1325"/>
      <c r="AY29" s="1325"/>
      <c r="AZ29" s="1325"/>
      <c r="BA29" s="1325"/>
      <c r="BB29" s="1325"/>
      <c r="BC29" s="1325"/>
      <c r="BD29" s="1325"/>
      <c r="BE29" s="1325"/>
      <c r="BF29" s="1325"/>
      <c r="BG29" s="1325"/>
      <c r="BH29" s="1325"/>
      <c r="BI29" s="1325"/>
      <c r="BJ29" s="1325"/>
      <c r="BK29" s="1325"/>
      <c r="BL29" s="1325"/>
      <c r="BM29" s="1325"/>
      <c r="BN29" s="1325"/>
      <c r="BO29" s="1325"/>
      <c r="BP29" s="1325"/>
      <c r="BQ29" s="1325"/>
      <c r="BR29" s="1325"/>
      <c r="BS29" s="1325"/>
      <c r="BT29" s="1325"/>
      <c r="BU29" s="1325"/>
      <c r="BV29" s="1325"/>
      <c r="BW29" s="1325"/>
      <c r="BX29" s="1325"/>
      <c r="BY29" s="1325"/>
      <c r="BZ29" s="1325"/>
      <c r="CA29" s="1325"/>
      <c r="CB29" s="1325"/>
      <c r="CC29" s="1325"/>
      <c r="CD29" s="1325"/>
      <c r="CE29" s="1325"/>
      <c r="CF29" s="1325"/>
      <c r="CG29" s="1325"/>
      <c r="CH29" s="1325"/>
      <c r="CI29" s="1325"/>
      <c r="CJ29" s="1325"/>
      <c r="CK29" s="1325"/>
      <c r="CL29" s="1325"/>
      <c r="CM29" s="1325"/>
      <c r="CN29" s="1325"/>
      <c r="CO29" s="1325"/>
      <c r="CP29" s="1325"/>
      <c r="CQ29" s="1325"/>
      <c r="CR29" s="1325"/>
      <c r="CS29" s="1325"/>
      <c r="CT29" s="1325"/>
      <c r="CU29" s="1325"/>
      <c r="CV29" s="1325"/>
      <c r="CW29" s="1325"/>
      <c r="CX29" s="1325"/>
      <c r="CY29" s="1325"/>
      <c r="CZ29" s="1325"/>
      <c r="DA29" s="1325"/>
      <c r="DB29" s="1325"/>
      <c r="DC29" s="1325"/>
      <c r="DD29" s="1325"/>
      <c r="DE29" s="1325"/>
      <c r="DF29" s="1325"/>
      <c r="DG29" s="1325"/>
      <c r="DH29" s="1325"/>
      <c r="DI29" s="1325"/>
      <c r="DJ29" s="1325"/>
      <c r="DK29" s="1325"/>
      <c r="DL29" s="1325"/>
      <c r="DM29" s="1325"/>
      <c r="DN29" s="1325"/>
      <c r="DO29" s="1325"/>
      <c r="DP29" s="1325"/>
      <c r="DQ29" s="1325"/>
      <c r="DR29" s="1325"/>
      <c r="DS29" s="1325"/>
      <c r="DT29" s="1325"/>
      <c r="DU29" s="1325"/>
      <c r="DV29" s="1325"/>
      <c r="DW29" s="1325"/>
      <c r="DX29" s="1325"/>
      <c r="DY29" s="1325"/>
      <c r="DZ29" s="1325"/>
      <c r="EA29" s="1325"/>
      <c r="EB29" s="1325"/>
      <c r="EC29" s="1325"/>
      <c r="ED29" s="1325"/>
      <c r="EE29" s="1325"/>
      <c r="EF29" s="1325"/>
      <c r="EG29" s="1325"/>
      <c r="EH29" s="1325"/>
      <c r="EI29" s="1325"/>
      <c r="EJ29" s="1325"/>
      <c r="EK29" s="1325"/>
      <c r="EL29" s="1325"/>
      <c r="EM29" s="1325"/>
      <c r="EN29" s="1325"/>
      <c r="EO29" s="1325"/>
      <c r="EP29" s="1325"/>
      <c r="EQ29" s="1325"/>
      <c r="ER29" s="1325"/>
      <c r="ES29" s="1325"/>
      <c r="ET29" s="1325"/>
      <c r="EU29" s="1325"/>
      <c r="EV29" s="1325"/>
      <c r="EW29" s="1325"/>
      <c r="EX29" s="1325"/>
      <c r="EY29" s="1325"/>
      <c r="EZ29" s="1325"/>
      <c r="FA29" s="1325"/>
      <c r="FB29" s="1325"/>
      <c r="FC29" s="1325"/>
      <c r="FD29" s="1325"/>
      <c r="FE29" s="1325"/>
      <c r="FF29" s="1325"/>
      <c r="FG29" s="1325"/>
      <c r="FH29" s="1325"/>
      <c r="FI29" s="1325"/>
      <c r="FJ29" s="1325"/>
      <c r="FK29" s="1325"/>
      <c r="FL29" s="1325"/>
      <c r="FM29" s="1325"/>
      <c r="FN29" s="1325"/>
      <c r="FO29" s="1325"/>
      <c r="FP29" s="1325"/>
      <c r="FQ29" s="1325"/>
      <c r="FR29" s="1325"/>
      <c r="FS29" s="1325"/>
      <c r="FT29" s="1325"/>
      <c r="FU29" s="1325"/>
      <c r="FV29" s="1325"/>
      <c r="FW29" s="1325"/>
      <c r="FX29" s="1325"/>
      <c r="FY29" s="1325"/>
      <c r="FZ29" s="1325"/>
      <c r="GA29" s="1325"/>
      <c r="GB29" s="1325"/>
      <c r="GC29" s="1325"/>
      <c r="GD29" s="1325"/>
      <c r="GE29" s="1325"/>
      <c r="GF29" s="1325"/>
      <c r="GG29" s="1325"/>
      <c r="GH29" s="1325"/>
      <c r="GI29" s="1325"/>
      <c r="GJ29" s="1325"/>
      <c r="GK29" s="1325"/>
      <c r="GL29" s="1325"/>
      <c r="GM29" s="1325"/>
      <c r="GN29" s="1325"/>
      <c r="GO29" s="1325"/>
      <c r="GP29" s="1325"/>
      <c r="GQ29" s="1325"/>
      <c r="GR29" s="1325"/>
      <c r="GS29" s="1325"/>
      <c r="GT29" s="1325"/>
      <c r="GU29" s="1325"/>
      <c r="GV29" s="1325"/>
      <c r="GW29" s="1325"/>
      <c r="GX29" s="1325"/>
      <c r="GY29" s="1325"/>
      <c r="GZ29" s="1325"/>
      <c r="HA29" s="1325"/>
      <c r="HB29" s="1325"/>
      <c r="HC29" s="1325"/>
      <c r="HD29" s="1325"/>
      <c r="HE29" s="1325"/>
      <c r="HF29" s="1325"/>
      <c r="HG29" s="1325"/>
      <c r="HH29" s="1325"/>
      <c r="HI29" s="1325"/>
      <c r="HJ29" s="1325"/>
      <c r="HK29" s="1325"/>
      <c r="HL29" s="1325"/>
      <c r="HM29" s="1325"/>
      <c r="HN29" s="1325"/>
      <c r="HO29" s="1325"/>
      <c r="HP29" s="1325"/>
      <c r="HQ29" s="1325"/>
      <c r="HR29" s="1325"/>
      <c r="HS29" s="1325"/>
      <c r="HT29" s="1325"/>
      <c r="HU29" s="1325"/>
      <c r="HV29" s="1325"/>
      <c r="HW29" s="1325"/>
      <c r="HX29" s="1325"/>
      <c r="HY29" s="1325"/>
      <c r="HZ29" s="1325"/>
      <c r="IA29" s="1325"/>
      <c r="IB29" s="1325"/>
      <c r="IC29" s="1325"/>
      <c r="ID29" s="1325"/>
      <c r="IE29" s="1325"/>
      <c r="IF29" s="1325"/>
      <c r="IG29" s="1325"/>
      <c r="IH29" s="1325"/>
      <c r="II29" s="1325"/>
      <c r="IJ29" s="1325"/>
      <c r="IK29" s="1325"/>
      <c r="IL29" s="1325"/>
      <c r="IM29" s="1325"/>
      <c r="IN29" s="1325"/>
      <c r="IO29" s="1325"/>
      <c r="IP29" s="1325"/>
      <c r="IQ29" s="1325"/>
      <c r="IR29" s="1325"/>
      <c r="IS29" s="1325"/>
      <c r="IT29" s="1325"/>
      <c r="IU29" s="1325"/>
      <c r="IV29" s="1325"/>
    </row>
    <row r="30" spans="1:256" ht="25.5">
      <c r="A30" s="1326" t="s">
        <v>802</v>
      </c>
      <c r="B30" s="1327" t="s">
        <v>803</v>
      </c>
      <c r="C30" s="1328"/>
      <c r="D30" s="1328"/>
      <c r="E30" s="1325"/>
      <c r="F30" s="1325"/>
      <c r="G30" s="1325"/>
      <c r="H30" s="1325"/>
      <c r="I30" s="1325"/>
      <c r="J30" s="1325"/>
      <c r="K30" s="1325"/>
      <c r="L30" s="1325"/>
      <c r="M30" s="1325"/>
      <c r="N30" s="1325"/>
      <c r="O30" s="1325"/>
      <c r="P30" s="1325"/>
      <c r="Q30" s="1325"/>
      <c r="R30" s="1325"/>
      <c r="S30" s="1325"/>
      <c r="T30" s="1325"/>
      <c r="U30" s="1325"/>
      <c r="V30" s="1325"/>
      <c r="W30" s="1325"/>
      <c r="X30" s="1325"/>
      <c r="Y30" s="1325"/>
      <c r="Z30" s="1325"/>
      <c r="AA30" s="1325"/>
      <c r="AB30" s="1325"/>
      <c r="AC30" s="1325"/>
      <c r="AD30" s="1325"/>
      <c r="AE30" s="1325"/>
      <c r="AF30" s="1325"/>
      <c r="AG30" s="1325"/>
      <c r="AH30" s="1325"/>
      <c r="AI30" s="1325"/>
      <c r="AJ30" s="1325"/>
      <c r="AK30" s="1325"/>
      <c r="AL30" s="1325"/>
      <c r="AM30" s="1325"/>
      <c r="AN30" s="1325"/>
      <c r="AO30" s="1325"/>
      <c r="AP30" s="1325"/>
      <c r="AQ30" s="1325"/>
      <c r="AR30" s="1325"/>
      <c r="AS30" s="1325"/>
      <c r="AT30" s="1325"/>
      <c r="AU30" s="1325"/>
      <c r="AV30" s="1325"/>
      <c r="AW30" s="1325"/>
      <c r="AX30" s="1325"/>
      <c r="AY30" s="1325"/>
      <c r="AZ30" s="1325"/>
      <c r="BA30" s="1325"/>
      <c r="BB30" s="1325"/>
      <c r="BC30" s="1325"/>
      <c r="BD30" s="1325"/>
      <c r="BE30" s="1325"/>
      <c r="BF30" s="1325"/>
      <c r="BG30" s="1325"/>
      <c r="BH30" s="1325"/>
      <c r="BI30" s="1325"/>
      <c r="BJ30" s="1325"/>
      <c r="BK30" s="1325"/>
      <c r="BL30" s="1325"/>
      <c r="BM30" s="1325"/>
      <c r="BN30" s="1325"/>
      <c r="BO30" s="1325"/>
      <c r="BP30" s="1325"/>
      <c r="BQ30" s="1325"/>
      <c r="BR30" s="1325"/>
      <c r="BS30" s="1325"/>
      <c r="BT30" s="1325"/>
      <c r="BU30" s="1325"/>
      <c r="BV30" s="1325"/>
      <c r="BW30" s="1325"/>
      <c r="BX30" s="1325"/>
      <c r="BY30" s="1325"/>
      <c r="BZ30" s="1325"/>
      <c r="CA30" s="1325"/>
      <c r="CB30" s="1325"/>
      <c r="CC30" s="1325"/>
      <c r="CD30" s="1325"/>
      <c r="CE30" s="1325"/>
      <c r="CF30" s="1325"/>
      <c r="CG30" s="1325"/>
      <c r="CH30" s="1325"/>
      <c r="CI30" s="1325"/>
      <c r="CJ30" s="1325"/>
      <c r="CK30" s="1325"/>
      <c r="CL30" s="1325"/>
      <c r="CM30" s="1325"/>
      <c r="CN30" s="1325"/>
      <c r="CO30" s="1325"/>
      <c r="CP30" s="1325"/>
      <c r="CQ30" s="1325"/>
      <c r="CR30" s="1325"/>
      <c r="CS30" s="1325"/>
      <c r="CT30" s="1325"/>
      <c r="CU30" s="1325"/>
      <c r="CV30" s="1325"/>
      <c r="CW30" s="1325"/>
      <c r="CX30" s="1325"/>
      <c r="CY30" s="1325"/>
      <c r="CZ30" s="1325"/>
      <c r="DA30" s="1325"/>
      <c r="DB30" s="1325"/>
      <c r="DC30" s="1325"/>
      <c r="DD30" s="1325"/>
      <c r="DE30" s="1325"/>
      <c r="DF30" s="1325"/>
      <c r="DG30" s="1325"/>
      <c r="DH30" s="1325"/>
      <c r="DI30" s="1325"/>
      <c r="DJ30" s="1325"/>
      <c r="DK30" s="1325"/>
      <c r="DL30" s="1325"/>
      <c r="DM30" s="1325"/>
      <c r="DN30" s="1325"/>
      <c r="DO30" s="1325"/>
      <c r="DP30" s="1325"/>
      <c r="DQ30" s="1325"/>
      <c r="DR30" s="1325"/>
      <c r="DS30" s="1325"/>
      <c r="DT30" s="1325"/>
      <c r="DU30" s="1325"/>
      <c r="DV30" s="1325"/>
      <c r="DW30" s="1325"/>
      <c r="DX30" s="1325"/>
      <c r="DY30" s="1325"/>
      <c r="DZ30" s="1325"/>
      <c r="EA30" s="1325"/>
      <c r="EB30" s="1325"/>
      <c r="EC30" s="1325"/>
      <c r="ED30" s="1325"/>
      <c r="EE30" s="1325"/>
      <c r="EF30" s="1325"/>
      <c r="EG30" s="1325"/>
      <c r="EH30" s="1325"/>
      <c r="EI30" s="1325"/>
      <c r="EJ30" s="1325"/>
      <c r="EK30" s="1325"/>
      <c r="EL30" s="1325"/>
      <c r="EM30" s="1325"/>
      <c r="EN30" s="1325"/>
      <c r="EO30" s="1325"/>
      <c r="EP30" s="1325"/>
      <c r="EQ30" s="1325"/>
      <c r="ER30" s="1325"/>
      <c r="ES30" s="1325"/>
      <c r="ET30" s="1325"/>
      <c r="EU30" s="1325"/>
      <c r="EV30" s="1325"/>
      <c r="EW30" s="1325"/>
      <c r="EX30" s="1325"/>
      <c r="EY30" s="1325"/>
      <c r="EZ30" s="1325"/>
      <c r="FA30" s="1325"/>
      <c r="FB30" s="1325"/>
      <c r="FC30" s="1325"/>
      <c r="FD30" s="1325"/>
      <c r="FE30" s="1325"/>
      <c r="FF30" s="1325"/>
      <c r="FG30" s="1325"/>
      <c r="FH30" s="1325"/>
      <c r="FI30" s="1325"/>
      <c r="FJ30" s="1325"/>
      <c r="FK30" s="1325"/>
      <c r="FL30" s="1325"/>
      <c r="FM30" s="1325"/>
      <c r="FN30" s="1325"/>
      <c r="FO30" s="1325"/>
      <c r="FP30" s="1325"/>
      <c r="FQ30" s="1325"/>
      <c r="FR30" s="1325"/>
      <c r="FS30" s="1325"/>
      <c r="FT30" s="1325"/>
      <c r="FU30" s="1325"/>
      <c r="FV30" s="1325"/>
      <c r="FW30" s="1325"/>
      <c r="FX30" s="1325"/>
      <c r="FY30" s="1325"/>
      <c r="FZ30" s="1325"/>
      <c r="GA30" s="1325"/>
      <c r="GB30" s="1325"/>
      <c r="GC30" s="1325"/>
      <c r="GD30" s="1325"/>
      <c r="GE30" s="1325"/>
      <c r="GF30" s="1325"/>
      <c r="GG30" s="1325"/>
      <c r="GH30" s="1325"/>
      <c r="GI30" s="1325"/>
      <c r="GJ30" s="1325"/>
      <c r="GK30" s="1325"/>
      <c r="GL30" s="1325"/>
      <c r="GM30" s="1325"/>
      <c r="GN30" s="1325"/>
      <c r="GO30" s="1325"/>
      <c r="GP30" s="1325"/>
      <c r="GQ30" s="1325"/>
      <c r="GR30" s="1325"/>
      <c r="GS30" s="1325"/>
      <c r="GT30" s="1325"/>
      <c r="GU30" s="1325"/>
      <c r="GV30" s="1325"/>
      <c r="GW30" s="1325"/>
      <c r="GX30" s="1325"/>
      <c r="GY30" s="1325"/>
      <c r="GZ30" s="1325"/>
      <c r="HA30" s="1325"/>
      <c r="HB30" s="1325"/>
      <c r="HC30" s="1325"/>
      <c r="HD30" s="1325"/>
      <c r="HE30" s="1325"/>
      <c r="HF30" s="1325"/>
      <c r="HG30" s="1325"/>
      <c r="HH30" s="1325"/>
      <c r="HI30" s="1325"/>
      <c r="HJ30" s="1325"/>
      <c r="HK30" s="1325"/>
      <c r="HL30" s="1325"/>
      <c r="HM30" s="1325"/>
      <c r="HN30" s="1325"/>
      <c r="HO30" s="1325"/>
      <c r="HP30" s="1325"/>
      <c r="HQ30" s="1325"/>
      <c r="HR30" s="1325"/>
      <c r="HS30" s="1325"/>
      <c r="HT30" s="1325"/>
      <c r="HU30" s="1325"/>
      <c r="HV30" s="1325"/>
      <c r="HW30" s="1325"/>
      <c r="HX30" s="1325"/>
      <c r="HY30" s="1325"/>
      <c r="HZ30" s="1325"/>
      <c r="IA30" s="1325"/>
      <c r="IB30" s="1325"/>
      <c r="IC30" s="1325"/>
      <c r="ID30" s="1325"/>
      <c r="IE30" s="1325"/>
      <c r="IF30" s="1325"/>
      <c r="IG30" s="1325"/>
      <c r="IH30" s="1325"/>
      <c r="II30" s="1325"/>
      <c r="IJ30" s="1325"/>
      <c r="IK30" s="1325"/>
      <c r="IL30" s="1325"/>
      <c r="IM30" s="1325"/>
      <c r="IN30" s="1325"/>
      <c r="IO30" s="1325"/>
      <c r="IP30" s="1325"/>
      <c r="IQ30" s="1325"/>
      <c r="IR30" s="1325"/>
      <c r="IS30" s="1325"/>
      <c r="IT30" s="1325"/>
      <c r="IU30" s="1325"/>
      <c r="IV30" s="1325"/>
    </row>
    <row r="31" spans="1:256" ht="15.75">
      <c r="A31" s="1326" t="s">
        <v>804</v>
      </c>
      <c r="B31" s="1327" t="s">
        <v>805</v>
      </c>
      <c r="C31" s="1333"/>
      <c r="D31" s="1333"/>
      <c r="E31" s="1325"/>
      <c r="F31" s="1325"/>
      <c r="G31" s="1325"/>
      <c r="H31" s="1325"/>
      <c r="I31" s="1325"/>
      <c r="J31" s="1325"/>
      <c r="K31" s="1325"/>
      <c r="L31" s="1325"/>
      <c r="M31" s="1325"/>
      <c r="N31" s="1325"/>
      <c r="O31" s="1325"/>
      <c r="P31" s="1325"/>
      <c r="Q31" s="1325"/>
      <c r="R31" s="1325"/>
      <c r="S31" s="1325"/>
      <c r="T31" s="1325"/>
      <c r="U31" s="1325"/>
      <c r="V31" s="1325"/>
      <c r="W31" s="1325"/>
      <c r="X31" s="1325"/>
      <c r="Y31" s="1325"/>
      <c r="Z31" s="1325"/>
      <c r="AA31" s="1325"/>
      <c r="AB31" s="1325"/>
      <c r="AC31" s="1325"/>
      <c r="AD31" s="1325"/>
      <c r="AE31" s="1325"/>
      <c r="AF31" s="1325"/>
      <c r="AG31" s="1325"/>
      <c r="AH31" s="1325"/>
      <c r="AI31" s="1325"/>
      <c r="AJ31" s="1325"/>
      <c r="AK31" s="1325"/>
      <c r="AL31" s="1325"/>
      <c r="AM31" s="1325"/>
      <c r="AN31" s="1325"/>
      <c r="AO31" s="1325"/>
      <c r="AP31" s="1325"/>
      <c r="AQ31" s="1325"/>
      <c r="AR31" s="1325"/>
      <c r="AS31" s="1325"/>
      <c r="AT31" s="1325"/>
      <c r="AU31" s="1325"/>
      <c r="AV31" s="1325"/>
      <c r="AW31" s="1325"/>
      <c r="AX31" s="1325"/>
      <c r="AY31" s="1325"/>
      <c r="AZ31" s="1325"/>
      <c r="BA31" s="1325"/>
      <c r="BB31" s="1325"/>
      <c r="BC31" s="1325"/>
      <c r="BD31" s="1325"/>
      <c r="BE31" s="1325"/>
      <c r="BF31" s="1325"/>
      <c r="BG31" s="1325"/>
      <c r="BH31" s="1325"/>
      <c r="BI31" s="1325"/>
      <c r="BJ31" s="1325"/>
      <c r="BK31" s="1325"/>
      <c r="BL31" s="1325"/>
      <c r="BM31" s="1325"/>
      <c r="BN31" s="1325"/>
      <c r="BO31" s="1325"/>
      <c r="BP31" s="1325"/>
      <c r="BQ31" s="1325"/>
      <c r="BR31" s="1325"/>
      <c r="BS31" s="1325"/>
      <c r="BT31" s="1325"/>
      <c r="BU31" s="1325"/>
      <c r="BV31" s="1325"/>
      <c r="BW31" s="1325"/>
      <c r="BX31" s="1325"/>
      <c r="BY31" s="1325"/>
      <c r="BZ31" s="1325"/>
      <c r="CA31" s="1325"/>
      <c r="CB31" s="1325"/>
      <c r="CC31" s="1325"/>
      <c r="CD31" s="1325"/>
      <c r="CE31" s="1325"/>
      <c r="CF31" s="1325"/>
      <c r="CG31" s="1325"/>
      <c r="CH31" s="1325"/>
      <c r="CI31" s="1325"/>
      <c r="CJ31" s="1325"/>
      <c r="CK31" s="1325"/>
      <c r="CL31" s="1325"/>
      <c r="CM31" s="1325"/>
      <c r="CN31" s="1325"/>
      <c r="CO31" s="1325"/>
      <c r="CP31" s="1325"/>
      <c r="CQ31" s="1325"/>
      <c r="CR31" s="1325"/>
      <c r="CS31" s="1325"/>
      <c r="CT31" s="1325"/>
      <c r="CU31" s="1325"/>
      <c r="CV31" s="1325"/>
      <c r="CW31" s="1325"/>
      <c r="CX31" s="1325"/>
      <c r="CY31" s="1325"/>
      <c r="CZ31" s="1325"/>
      <c r="DA31" s="1325"/>
      <c r="DB31" s="1325"/>
      <c r="DC31" s="1325"/>
      <c r="DD31" s="1325"/>
      <c r="DE31" s="1325"/>
      <c r="DF31" s="1325"/>
      <c r="DG31" s="1325"/>
      <c r="DH31" s="1325"/>
      <c r="DI31" s="1325"/>
      <c r="DJ31" s="1325"/>
      <c r="DK31" s="1325"/>
      <c r="DL31" s="1325"/>
      <c r="DM31" s="1325"/>
      <c r="DN31" s="1325"/>
      <c r="DO31" s="1325"/>
      <c r="DP31" s="1325"/>
      <c r="DQ31" s="1325"/>
      <c r="DR31" s="1325"/>
      <c r="DS31" s="1325"/>
      <c r="DT31" s="1325"/>
      <c r="DU31" s="1325"/>
      <c r="DV31" s="1325"/>
      <c r="DW31" s="1325"/>
      <c r="DX31" s="1325"/>
      <c r="DY31" s="1325"/>
      <c r="DZ31" s="1325"/>
      <c r="EA31" s="1325"/>
      <c r="EB31" s="1325"/>
      <c r="EC31" s="1325"/>
      <c r="ED31" s="1325"/>
      <c r="EE31" s="1325"/>
      <c r="EF31" s="1325"/>
      <c r="EG31" s="1325"/>
      <c r="EH31" s="1325"/>
      <c r="EI31" s="1325"/>
      <c r="EJ31" s="1325"/>
      <c r="EK31" s="1325"/>
      <c r="EL31" s="1325"/>
      <c r="EM31" s="1325"/>
      <c r="EN31" s="1325"/>
      <c r="EO31" s="1325"/>
      <c r="EP31" s="1325"/>
      <c r="EQ31" s="1325"/>
      <c r="ER31" s="1325"/>
      <c r="ES31" s="1325"/>
      <c r="ET31" s="1325"/>
      <c r="EU31" s="1325"/>
      <c r="EV31" s="1325"/>
      <c r="EW31" s="1325"/>
      <c r="EX31" s="1325"/>
      <c r="EY31" s="1325"/>
      <c r="EZ31" s="1325"/>
      <c r="FA31" s="1325"/>
      <c r="FB31" s="1325"/>
      <c r="FC31" s="1325"/>
      <c r="FD31" s="1325"/>
      <c r="FE31" s="1325"/>
      <c r="FF31" s="1325"/>
      <c r="FG31" s="1325"/>
      <c r="FH31" s="1325"/>
      <c r="FI31" s="1325"/>
      <c r="FJ31" s="1325"/>
      <c r="FK31" s="1325"/>
      <c r="FL31" s="1325"/>
      <c r="FM31" s="1325"/>
      <c r="FN31" s="1325"/>
      <c r="FO31" s="1325"/>
      <c r="FP31" s="1325"/>
      <c r="FQ31" s="1325"/>
      <c r="FR31" s="1325"/>
      <c r="FS31" s="1325"/>
      <c r="FT31" s="1325"/>
      <c r="FU31" s="1325"/>
      <c r="FV31" s="1325"/>
      <c r="FW31" s="1325"/>
      <c r="FX31" s="1325"/>
      <c r="FY31" s="1325"/>
      <c r="FZ31" s="1325"/>
      <c r="GA31" s="1325"/>
      <c r="GB31" s="1325"/>
      <c r="GC31" s="1325"/>
      <c r="GD31" s="1325"/>
      <c r="GE31" s="1325"/>
      <c r="GF31" s="1325"/>
      <c r="GG31" s="1325"/>
      <c r="GH31" s="1325"/>
      <c r="GI31" s="1325"/>
      <c r="GJ31" s="1325"/>
      <c r="GK31" s="1325"/>
      <c r="GL31" s="1325"/>
      <c r="GM31" s="1325"/>
      <c r="GN31" s="1325"/>
      <c r="GO31" s="1325"/>
      <c r="GP31" s="1325"/>
      <c r="GQ31" s="1325"/>
      <c r="GR31" s="1325"/>
      <c r="GS31" s="1325"/>
      <c r="GT31" s="1325"/>
      <c r="GU31" s="1325"/>
      <c r="GV31" s="1325"/>
      <c r="GW31" s="1325"/>
      <c r="GX31" s="1325"/>
      <c r="GY31" s="1325"/>
      <c r="GZ31" s="1325"/>
      <c r="HA31" s="1325"/>
      <c r="HB31" s="1325"/>
      <c r="HC31" s="1325"/>
      <c r="HD31" s="1325"/>
      <c r="HE31" s="1325"/>
      <c r="HF31" s="1325"/>
      <c r="HG31" s="1325"/>
      <c r="HH31" s="1325"/>
      <c r="HI31" s="1325"/>
      <c r="HJ31" s="1325"/>
      <c r="HK31" s="1325"/>
      <c r="HL31" s="1325"/>
      <c r="HM31" s="1325"/>
      <c r="HN31" s="1325"/>
      <c r="HO31" s="1325"/>
      <c r="HP31" s="1325"/>
      <c r="HQ31" s="1325"/>
      <c r="HR31" s="1325"/>
      <c r="HS31" s="1325"/>
      <c r="HT31" s="1325"/>
      <c r="HU31" s="1325"/>
      <c r="HV31" s="1325"/>
      <c r="HW31" s="1325"/>
      <c r="HX31" s="1325"/>
      <c r="HY31" s="1325"/>
      <c r="HZ31" s="1325"/>
      <c r="IA31" s="1325"/>
      <c r="IB31" s="1325"/>
      <c r="IC31" s="1325"/>
      <c r="ID31" s="1325"/>
      <c r="IE31" s="1325"/>
      <c r="IF31" s="1325"/>
      <c r="IG31" s="1325"/>
      <c r="IH31" s="1325"/>
      <c r="II31" s="1325"/>
      <c r="IJ31" s="1325"/>
      <c r="IK31" s="1325"/>
      <c r="IL31" s="1325"/>
      <c r="IM31" s="1325"/>
      <c r="IN31" s="1325"/>
      <c r="IO31" s="1325"/>
      <c r="IP31" s="1325"/>
      <c r="IQ31" s="1325"/>
      <c r="IR31" s="1325"/>
      <c r="IS31" s="1325"/>
      <c r="IT31" s="1325"/>
      <c r="IU31" s="1325"/>
      <c r="IV31" s="1325"/>
    </row>
    <row r="32" spans="1:256" ht="15.75">
      <c r="A32" s="1326" t="s">
        <v>806</v>
      </c>
      <c r="B32" s="1327" t="s">
        <v>807</v>
      </c>
      <c r="C32" s="1328"/>
      <c r="D32" s="1328"/>
      <c r="E32" s="1325"/>
      <c r="F32" s="1325"/>
      <c r="G32" s="1325"/>
      <c r="H32" s="1325"/>
      <c r="I32" s="1325"/>
      <c r="J32" s="1325"/>
      <c r="K32" s="1325"/>
      <c r="L32" s="1325"/>
      <c r="M32" s="1325"/>
      <c r="N32" s="1325"/>
      <c r="O32" s="1325"/>
      <c r="P32" s="1325"/>
      <c r="Q32" s="1325"/>
      <c r="R32" s="1325"/>
      <c r="S32" s="1325"/>
      <c r="T32" s="1325"/>
      <c r="U32" s="1325"/>
      <c r="V32" s="1325"/>
      <c r="W32" s="1325"/>
      <c r="X32" s="1325"/>
      <c r="Y32" s="1325"/>
      <c r="Z32" s="1325"/>
      <c r="AA32" s="1325"/>
      <c r="AB32" s="1325"/>
      <c r="AC32" s="1325"/>
      <c r="AD32" s="1325"/>
      <c r="AE32" s="1325"/>
      <c r="AF32" s="1325"/>
      <c r="AG32" s="1325"/>
      <c r="AH32" s="1325"/>
      <c r="AI32" s="1325"/>
      <c r="AJ32" s="1325"/>
      <c r="AK32" s="1325"/>
      <c r="AL32" s="1325"/>
      <c r="AM32" s="1325"/>
      <c r="AN32" s="1325"/>
      <c r="AO32" s="1325"/>
      <c r="AP32" s="1325"/>
      <c r="AQ32" s="1325"/>
      <c r="AR32" s="1325"/>
      <c r="AS32" s="1325"/>
      <c r="AT32" s="1325"/>
      <c r="AU32" s="1325"/>
      <c r="AV32" s="1325"/>
      <c r="AW32" s="1325"/>
      <c r="AX32" s="1325"/>
      <c r="AY32" s="1325"/>
      <c r="AZ32" s="1325"/>
      <c r="BA32" s="1325"/>
      <c r="BB32" s="1325"/>
      <c r="BC32" s="1325"/>
      <c r="BD32" s="1325"/>
      <c r="BE32" s="1325"/>
      <c r="BF32" s="1325"/>
      <c r="BG32" s="1325"/>
      <c r="BH32" s="1325"/>
      <c r="BI32" s="1325"/>
      <c r="BJ32" s="1325"/>
      <c r="BK32" s="1325"/>
      <c r="BL32" s="1325"/>
      <c r="BM32" s="1325"/>
      <c r="BN32" s="1325"/>
      <c r="BO32" s="1325"/>
      <c r="BP32" s="1325"/>
      <c r="BQ32" s="1325"/>
      <c r="BR32" s="1325"/>
      <c r="BS32" s="1325"/>
      <c r="BT32" s="1325"/>
      <c r="BU32" s="1325"/>
      <c r="BV32" s="1325"/>
      <c r="BW32" s="1325"/>
      <c r="BX32" s="1325"/>
      <c r="BY32" s="1325"/>
      <c r="BZ32" s="1325"/>
      <c r="CA32" s="1325"/>
      <c r="CB32" s="1325"/>
      <c r="CC32" s="1325"/>
      <c r="CD32" s="1325"/>
      <c r="CE32" s="1325"/>
      <c r="CF32" s="1325"/>
      <c r="CG32" s="1325"/>
      <c r="CH32" s="1325"/>
      <c r="CI32" s="1325"/>
      <c r="CJ32" s="1325"/>
      <c r="CK32" s="1325"/>
      <c r="CL32" s="1325"/>
      <c r="CM32" s="1325"/>
      <c r="CN32" s="1325"/>
      <c r="CO32" s="1325"/>
      <c r="CP32" s="1325"/>
      <c r="CQ32" s="1325"/>
      <c r="CR32" s="1325"/>
      <c r="CS32" s="1325"/>
      <c r="CT32" s="1325"/>
      <c r="CU32" s="1325"/>
      <c r="CV32" s="1325"/>
      <c r="CW32" s="1325"/>
      <c r="CX32" s="1325"/>
      <c r="CY32" s="1325"/>
      <c r="CZ32" s="1325"/>
      <c r="DA32" s="1325"/>
      <c r="DB32" s="1325"/>
      <c r="DC32" s="1325"/>
      <c r="DD32" s="1325"/>
      <c r="DE32" s="1325"/>
      <c r="DF32" s="1325"/>
      <c r="DG32" s="1325"/>
      <c r="DH32" s="1325"/>
      <c r="DI32" s="1325"/>
      <c r="DJ32" s="1325"/>
      <c r="DK32" s="1325"/>
      <c r="DL32" s="1325"/>
      <c r="DM32" s="1325"/>
      <c r="DN32" s="1325"/>
      <c r="DO32" s="1325"/>
      <c r="DP32" s="1325"/>
      <c r="DQ32" s="1325"/>
      <c r="DR32" s="1325"/>
      <c r="DS32" s="1325"/>
      <c r="DT32" s="1325"/>
      <c r="DU32" s="1325"/>
      <c r="DV32" s="1325"/>
      <c r="DW32" s="1325"/>
      <c r="DX32" s="1325"/>
      <c r="DY32" s="1325"/>
      <c r="DZ32" s="1325"/>
      <c r="EA32" s="1325"/>
      <c r="EB32" s="1325"/>
      <c r="EC32" s="1325"/>
      <c r="ED32" s="1325"/>
      <c r="EE32" s="1325"/>
      <c r="EF32" s="1325"/>
      <c r="EG32" s="1325"/>
      <c r="EH32" s="1325"/>
      <c r="EI32" s="1325"/>
      <c r="EJ32" s="1325"/>
      <c r="EK32" s="1325"/>
      <c r="EL32" s="1325"/>
      <c r="EM32" s="1325"/>
      <c r="EN32" s="1325"/>
      <c r="EO32" s="1325"/>
      <c r="EP32" s="1325"/>
      <c r="EQ32" s="1325"/>
      <c r="ER32" s="1325"/>
      <c r="ES32" s="1325"/>
      <c r="ET32" s="1325"/>
      <c r="EU32" s="1325"/>
      <c r="EV32" s="1325"/>
      <c r="EW32" s="1325"/>
      <c r="EX32" s="1325"/>
      <c r="EY32" s="1325"/>
      <c r="EZ32" s="1325"/>
      <c r="FA32" s="1325"/>
      <c r="FB32" s="1325"/>
      <c r="FC32" s="1325"/>
      <c r="FD32" s="1325"/>
      <c r="FE32" s="1325"/>
      <c r="FF32" s="1325"/>
      <c r="FG32" s="1325"/>
      <c r="FH32" s="1325"/>
      <c r="FI32" s="1325"/>
      <c r="FJ32" s="1325"/>
      <c r="FK32" s="1325"/>
      <c r="FL32" s="1325"/>
      <c r="FM32" s="1325"/>
      <c r="FN32" s="1325"/>
      <c r="FO32" s="1325"/>
      <c r="FP32" s="1325"/>
      <c r="FQ32" s="1325"/>
      <c r="FR32" s="1325"/>
      <c r="FS32" s="1325"/>
      <c r="FT32" s="1325"/>
      <c r="FU32" s="1325"/>
      <c r="FV32" s="1325"/>
      <c r="FW32" s="1325"/>
      <c r="FX32" s="1325"/>
      <c r="FY32" s="1325"/>
      <c r="FZ32" s="1325"/>
      <c r="GA32" s="1325"/>
      <c r="GB32" s="1325"/>
      <c r="GC32" s="1325"/>
      <c r="GD32" s="1325"/>
      <c r="GE32" s="1325"/>
      <c r="GF32" s="1325"/>
      <c r="GG32" s="1325"/>
      <c r="GH32" s="1325"/>
      <c r="GI32" s="1325"/>
      <c r="GJ32" s="1325"/>
      <c r="GK32" s="1325"/>
      <c r="GL32" s="1325"/>
      <c r="GM32" s="1325"/>
      <c r="GN32" s="1325"/>
      <c r="GO32" s="1325"/>
      <c r="GP32" s="1325"/>
      <c r="GQ32" s="1325"/>
      <c r="GR32" s="1325"/>
      <c r="GS32" s="1325"/>
      <c r="GT32" s="1325"/>
      <c r="GU32" s="1325"/>
      <c r="GV32" s="1325"/>
      <c r="GW32" s="1325"/>
      <c r="GX32" s="1325"/>
      <c r="GY32" s="1325"/>
      <c r="GZ32" s="1325"/>
      <c r="HA32" s="1325"/>
      <c r="HB32" s="1325"/>
      <c r="HC32" s="1325"/>
      <c r="HD32" s="1325"/>
      <c r="HE32" s="1325"/>
      <c r="HF32" s="1325"/>
      <c r="HG32" s="1325"/>
      <c r="HH32" s="1325"/>
      <c r="HI32" s="1325"/>
      <c r="HJ32" s="1325"/>
      <c r="HK32" s="1325"/>
      <c r="HL32" s="1325"/>
      <c r="HM32" s="1325"/>
      <c r="HN32" s="1325"/>
      <c r="HO32" s="1325"/>
      <c r="HP32" s="1325"/>
      <c r="HQ32" s="1325"/>
      <c r="HR32" s="1325"/>
      <c r="HS32" s="1325"/>
      <c r="HT32" s="1325"/>
      <c r="HU32" s="1325"/>
      <c r="HV32" s="1325"/>
      <c r="HW32" s="1325"/>
      <c r="HX32" s="1325"/>
      <c r="HY32" s="1325"/>
      <c r="HZ32" s="1325"/>
      <c r="IA32" s="1325"/>
      <c r="IB32" s="1325"/>
      <c r="IC32" s="1325"/>
      <c r="ID32" s="1325"/>
      <c r="IE32" s="1325"/>
      <c r="IF32" s="1325"/>
      <c r="IG32" s="1325"/>
      <c r="IH32" s="1325"/>
      <c r="II32" s="1325"/>
      <c r="IJ32" s="1325"/>
      <c r="IK32" s="1325"/>
      <c r="IL32" s="1325"/>
      <c r="IM32" s="1325"/>
      <c r="IN32" s="1325"/>
      <c r="IO32" s="1325"/>
      <c r="IP32" s="1325"/>
      <c r="IQ32" s="1325"/>
      <c r="IR32" s="1325"/>
      <c r="IS32" s="1325"/>
      <c r="IT32" s="1325"/>
      <c r="IU32" s="1325"/>
      <c r="IV32" s="1325"/>
    </row>
    <row r="33" spans="1:256" ht="15.75">
      <c r="A33" s="1329" t="s">
        <v>808</v>
      </c>
      <c r="B33" s="1330" t="s">
        <v>809</v>
      </c>
      <c r="C33" s="1332"/>
      <c r="D33" s="1332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1325"/>
      <c r="AN33" s="1325"/>
      <c r="AO33" s="1325"/>
      <c r="AP33" s="1325"/>
      <c r="AQ33" s="1325"/>
      <c r="AR33" s="1325"/>
      <c r="AS33" s="1325"/>
      <c r="AT33" s="1325"/>
      <c r="AU33" s="1325"/>
      <c r="AV33" s="1325"/>
      <c r="AW33" s="1325"/>
      <c r="AX33" s="1325"/>
      <c r="AY33" s="1325"/>
      <c r="AZ33" s="1325"/>
      <c r="BA33" s="1325"/>
      <c r="BB33" s="1325"/>
      <c r="BC33" s="1325"/>
      <c r="BD33" s="1325"/>
      <c r="BE33" s="1325"/>
      <c r="BF33" s="1325"/>
      <c r="BG33" s="1325"/>
      <c r="BH33" s="1325"/>
      <c r="BI33" s="1325"/>
      <c r="BJ33" s="1325"/>
      <c r="BK33" s="1325"/>
      <c r="BL33" s="1325"/>
      <c r="BM33" s="1325"/>
      <c r="BN33" s="1325"/>
      <c r="BO33" s="1325"/>
      <c r="BP33" s="1325"/>
      <c r="BQ33" s="1325"/>
      <c r="BR33" s="1325"/>
      <c r="BS33" s="1325"/>
      <c r="BT33" s="1325"/>
      <c r="BU33" s="1325"/>
      <c r="BV33" s="1325"/>
      <c r="BW33" s="1325"/>
      <c r="BX33" s="1325"/>
      <c r="BY33" s="1325"/>
      <c r="BZ33" s="1325"/>
      <c r="CA33" s="1325"/>
      <c r="CB33" s="1325"/>
      <c r="CC33" s="1325"/>
      <c r="CD33" s="1325"/>
      <c r="CE33" s="1325"/>
      <c r="CF33" s="1325"/>
      <c r="CG33" s="1325"/>
      <c r="CH33" s="1325"/>
      <c r="CI33" s="1325"/>
      <c r="CJ33" s="1325"/>
      <c r="CK33" s="1325"/>
      <c r="CL33" s="1325"/>
      <c r="CM33" s="1325"/>
      <c r="CN33" s="1325"/>
      <c r="CO33" s="1325"/>
      <c r="CP33" s="1325"/>
      <c r="CQ33" s="1325"/>
      <c r="CR33" s="1325"/>
      <c r="CS33" s="1325"/>
      <c r="CT33" s="1325"/>
      <c r="CU33" s="1325"/>
      <c r="CV33" s="1325"/>
      <c r="CW33" s="1325"/>
      <c r="CX33" s="1325"/>
      <c r="CY33" s="1325"/>
      <c r="CZ33" s="1325"/>
      <c r="DA33" s="1325"/>
      <c r="DB33" s="1325"/>
      <c r="DC33" s="1325"/>
      <c r="DD33" s="1325"/>
      <c r="DE33" s="1325"/>
      <c r="DF33" s="1325"/>
      <c r="DG33" s="1325"/>
      <c r="DH33" s="1325"/>
      <c r="DI33" s="1325"/>
      <c r="DJ33" s="1325"/>
      <c r="DK33" s="1325"/>
      <c r="DL33" s="1325"/>
      <c r="DM33" s="1325"/>
      <c r="DN33" s="1325"/>
      <c r="DO33" s="1325"/>
      <c r="DP33" s="1325"/>
      <c r="DQ33" s="1325"/>
      <c r="DR33" s="1325"/>
      <c r="DS33" s="1325"/>
      <c r="DT33" s="1325"/>
      <c r="DU33" s="1325"/>
      <c r="DV33" s="1325"/>
      <c r="DW33" s="1325"/>
      <c r="DX33" s="1325"/>
      <c r="DY33" s="1325"/>
      <c r="DZ33" s="1325"/>
      <c r="EA33" s="1325"/>
      <c r="EB33" s="1325"/>
      <c r="EC33" s="1325"/>
      <c r="ED33" s="1325"/>
      <c r="EE33" s="1325"/>
      <c r="EF33" s="1325"/>
      <c r="EG33" s="1325"/>
      <c r="EH33" s="1325"/>
      <c r="EI33" s="1325"/>
      <c r="EJ33" s="1325"/>
      <c r="EK33" s="1325"/>
      <c r="EL33" s="1325"/>
      <c r="EM33" s="1325"/>
      <c r="EN33" s="1325"/>
      <c r="EO33" s="1325"/>
      <c r="EP33" s="1325"/>
      <c r="EQ33" s="1325"/>
      <c r="ER33" s="1325"/>
      <c r="ES33" s="1325"/>
      <c r="ET33" s="1325"/>
      <c r="EU33" s="1325"/>
      <c r="EV33" s="1325"/>
      <c r="EW33" s="1325"/>
      <c r="EX33" s="1325"/>
      <c r="EY33" s="1325"/>
      <c r="EZ33" s="1325"/>
      <c r="FA33" s="1325"/>
      <c r="FB33" s="1325"/>
      <c r="FC33" s="1325"/>
      <c r="FD33" s="1325"/>
      <c r="FE33" s="1325"/>
      <c r="FF33" s="1325"/>
      <c r="FG33" s="1325"/>
      <c r="FH33" s="1325"/>
      <c r="FI33" s="1325"/>
      <c r="FJ33" s="1325"/>
      <c r="FK33" s="1325"/>
      <c r="FL33" s="1325"/>
      <c r="FM33" s="1325"/>
      <c r="FN33" s="1325"/>
      <c r="FO33" s="1325"/>
      <c r="FP33" s="1325"/>
      <c r="FQ33" s="1325"/>
      <c r="FR33" s="1325"/>
      <c r="FS33" s="1325"/>
      <c r="FT33" s="1325"/>
      <c r="FU33" s="1325"/>
      <c r="FV33" s="1325"/>
      <c r="FW33" s="1325"/>
      <c r="FX33" s="1325"/>
      <c r="FY33" s="1325"/>
      <c r="FZ33" s="1325"/>
      <c r="GA33" s="1325"/>
      <c r="GB33" s="1325"/>
      <c r="GC33" s="1325"/>
      <c r="GD33" s="1325"/>
      <c r="GE33" s="1325"/>
      <c r="GF33" s="1325"/>
      <c r="GG33" s="1325"/>
      <c r="GH33" s="1325"/>
      <c r="GI33" s="1325"/>
      <c r="GJ33" s="1325"/>
      <c r="GK33" s="1325"/>
      <c r="GL33" s="1325"/>
      <c r="GM33" s="1325"/>
      <c r="GN33" s="1325"/>
      <c r="GO33" s="1325"/>
      <c r="GP33" s="1325"/>
      <c r="GQ33" s="1325"/>
      <c r="GR33" s="1325"/>
      <c r="GS33" s="1325"/>
      <c r="GT33" s="1325"/>
      <c r="GU33" s="1325"/>
      <c r="GV33" s="1325"/>
      <c r="GW33" s="1325"/>
      <c r="GX33" s="1325"/>
      <c r="GY33" s="1325"/>
      <c r="GZ33" s="1325"/>
      <c r="HA33" s="1325"/>
      <c r="HB33" s="1325"/>
      <c r="HC33" s="1325"/>
      <c r="HD33" s="1325"/>
      <c r="HE33" s="1325"/>
      <c r="HF33" s="1325"/>
      <c r="HG33" s="1325"/>
      <c r="HH33" s="1325"/>
      <c r="HI33" s="1325"/>
      <c r="HJ33" s="1325"/>
      <c r="HK33" s="1325"/>
      <c r="HL33" s="1325"/>
      <c r="HM33" s="1325"/>
      <c r="HN33" s="1325"/>
      <c r="HO33" s="1325"/>
      <c r="HP33" s="1325"/>
      <c r="HQ33" s="1325"/>
      <c r="HR33" s="1325"/>
      <c r="HS33" s="1325"/>
      <c r="HT33" s="1325"/>
      <c r="HU33" s="1325"/>
      <c r="HV33" s="1325"/>
      <c r="HW33" s="1325"/>
      <c r="HX33" s="1325"/>
      <c r="HY33" s="1325"/>
      <c r="HZ33" s="1325"/>
      <c r="IA33" s="1325"/>
      <c r="IB33" s="1325"/>
      <c r="IC33" s="1325"/>
      <c r="ID33" s="1325"/>
      <c r="IE33" s="1325"/>
      <c r="IF33" s="1325"/>
      <c r="IG33" s="1325"/>
      <c r="IH33" s="1325"/>
      <c r="II33" s="1325"/>
      <c r="IJ33" s="1325"/>
      <c r="IK33" s="1325"/>
      <c r="IL33" s="1325"/>
      <c r="IM33" s="1325"/>
      <c r="IN33" s="1325"/>
      <c r="IO33" s="1325"/>
      <c r="IP33" s="1325"/>
      <c r="IQ33" s="1325"/>
      <c r="IR33" s="1325"/>
      <c r="IS33" s="1325"/>
      <c r="IT33" s="1325"/>
      <c r="IU33" s="1325"/>
      <c r="IV33" s="1325"/>
    </row>
    <row r="34" spans="1:256" ht="15.75">
      <c r="A34" s="1326" t="s">
        <v>810</v>
      </c>
      <c r="B34" s="1327" t="s">
        <v>811</v>
      </c>
      <c r="C34" s="1328"/>
      <c r="D34" s="1328"/>
      <c r="E34" s="1325"/>
      <c r="F34" s="1325"/>
      <c r="G34" s="1325"/>
      <c r="H34" s="1325"/>
      <c r="I34" s="1325"/>
      <c r="J34" s="1325"/>
      <c r="K34" s="1325"/>
      <c r="L34" s="1325"/>
      <c r="M34" s="1325"/>
      <c r="N34" s="1325"/>
      <c r="O34" s="1325"/>
      <c r="P34" s="1325"/>
      <c r="Q34" s="1325"/>
      <c r="R34" s="1325"/>
      <c r="S34" s="1325"/>
      <c r="T34" s="1325"/>
      <c r="U34" s="1325"/>
      <c r="V34" s="1325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5"/>
      <c r="AL34" s="1325"/>
      <c r="AM34" s="1325"/>
      <c r="AN34" s="1325"/>
      <c r="AO34" s="1325"/>
      <c r="AP34" s="1325"/>
      <c r="AQ34" s="1325"/>
      <c r="AR34" s="1325"/>
      <c r="AS34" s="1325"/>
      <c r="AT34" s="1325"/>
      <c r="AU34" s="1325"/>
      <c r="AV34" s="1325"/>
      <c r="AW34" s="1325"/>
      <c r="AX34" s="1325"/>
      <c r="AY34" s="1325"/>
      <c r="AZ34" s="1325"/>
      <c r="BA34" s="1325"/>
      <c r="BB34" s="1325"/>
      <c r="BC34" s="1325"/>
      <c r="BD34" s="1325"/>
      <c r="BE34" s="1325"/>
      <c r="BF34" s="1325"/>
      <c r="BG34" s="1325"/>
      <c r="BH34" s="1325"/>
      <c r="BI34" s="1325"/>
      <c r="BJ34" s="1325"/>
      <c r="BK34" s="1325"/>
      <c r="BL34" s="1325"/>
      <c r="BM34" s="1325"/>
      <c r="BN34" s="1325"/>
      <c r="BO34" s="1325"/>
      <c r="BP34" s="1325"/>
      <c r="BQ34" s="1325"/>
      <c r="BR34" s="1325"/>
      <c r="BS34" s="1325"/>
      <c r="BT34" s="1325"/>
      <c r="BU34" s="1325"/>
      <c r="BV34" s="1325"/>
      <c r="BW34" s="1325"/>
      <c r="BX34" s="1325"/>
      <c r="BY34" s="1325"/>
      <c r="BZ34" s="1325"/>
      <c r="CA34" s="1325"/>
      <c r="CB34" s="1325"/>
      <c r="CC34" s="1325"/>
      <c r="CD34" s="1325"/>
      <c r="CE34" s="1325"/>
      <c r="CF34" s="1325"/>
      <c r="CG34" s="1325"/>
      <c r="CH34" s="1325"/>
      <c r="CI34" s="1325"/>
      <c r="CJ34" s="1325"/>
      <c r="CK34" s="1325"/>
      <c r="CL34" s="1325"/>
      <c r="CM34" s="1325"/>
      <c r="CN34" s="1325"/>
      <c r="CO34" s="1325"/>
      <c r="CP34" s="1325"/>
      <c r="CQ34" s="1325"/>
      <c r="CR34" s="1325"/>
      <c r="CS34" s="1325"/>
      <c r="CT34" s="1325"/>
      <c r="CU34" s="1325"/>
      <c r="CV34" s="1325"/>
      <c r="CW34" s="1325"/>
      <c r="CX34" s="1325"/>
      <c r="CY34" s="1325"/>
      <c r="CZ34" s="1325"/>
      <c r="DA34" s="1325"/>
      <c r="DB34" s="1325"/>
      <c r="DC34" s="1325"/>
      <c r="DD34" s="1325"/>
      <c r="DE34" s="1325"/>
      <c r="DF34" s="1325"/>
      <c r="DG34" s="1325"/>
      <c r="DH34" s="1325"/>
      <c r="DI34" s="1325"/>
      <c r="DJ34" s="1325"/>
      <c r="DK34" s="1325"/>
      <c r="DL34" s="1325"/>
      <c r="DM34" s="1325"/>
      <c r="DN34" s="1325"/>
      <c r="DO34" s="1325"/>
      <c r="DP34" s="1325"/>
      <c r="DQ34" s="1325"/>
      <c r="DR34" s="1325"/>
      <c r="DS34" s="1325"/>
      <c r="DT34" s="1325"/>
      <c r="DU34" s="1325"/>
      <c r="DV34" s="1325"/>
      <c r="DW34" s="1325"/>
      <c r="DX34" s="1325"/>
      <c r="DY34" s="1325"/>
      <c r="DZ34" s="1325"/>
      <c r="EA34" s="1325"/>
      <c r="EB34" s="1325"/>
      <c r="EC34" s="1325"/>
      <c r="ED34" s="1325"/>
      <c r="EE34" s="1325"/>
      <c r="EF34" s="1325"/>
      <c r="EG34" s="1325"/>
      <c r="EH34" s="1325"/>
      <c r="EI34" s="1325"/>
      <c r="EJ34" s="1325"/>
      <c r="EK34" s="1325"/>
      <c r="EL34" s="1325"/>
      <c r="EM34" s="1325"/>
      <c r="EN34" s="1325"/>
      <c r="EO34" s="1325"/>
      <c r="EP34" s="1325"/>
      <c r="EQ34" s="1325"/>
      <c r="ER34" s="1325"/>
      <c r="ES34" s="1325"/>
      <c r="ET34" s="1325"/>
      <c r="EU34" s="1325"/>
      <c r="EV34" s="1325"/>
      <c r="EW34" s="1325"/>
      <c r="EX34" s="1325"/>
      <c r="EY34" s="1325"/>
      <c r="EZ34" s="1325"/>
      <c r="FA34" s="1325"/>
      <c r="FB34" s="1325"/>
      <c r="FC34" s="1325"/>
      <c r="FD34" s="1325"/>
      <c r="FE34" s="1325"/>
      <c r="FF34" s="1325"/>
      <c r="FG34" s="1325"/>
      <c r="FH34" s="1325"/>
      <c r="FI34" s="1325"/>
      <c r="FJ34" s="1325"/>
      <c r="FK34" s="1325"/>
      <c r="FL34" s="1325"/>
      <c r="FM34" s="1325"/>
      <c r="FN34" s="1325"/>
      <c r="FO34" s="1325"/>
      <c r="FP34" s="1325"/>
      <c r="FQ34" s="1325"/>
      <c r="FR34" s="1325"/>
      <c r="FS34" s="1325"/>
      <c r="FT34" s="1325"/>
      <c r="FU34" s="1325"/>
      <c r="FV34" s="1325"/>
      <c r="FW34" s="1325"/>
      <c r="FX34" s="1325"/>
      <c r="FY34" s="1325"/>
      <c r="FZ34" s="1325"/>
      <c r="GA34" s="1325"/>
      <c r="GB34" s="1325"/>
      <c r="GC34" s="1325"/>
      <c r="GD34" s="1325"/>
      <c r="GE34" s="1325"/>
      <c r="GF34" s="1325"/>
      <c r="GG34" s="1325"/>
      <c r="GH34" s="1325"/>
      <c r="GI34" s="1325"/>
      <c r="GJ34" s="1325"/>
      <c r="GK34" s="1325"/>
      <c r="GL34" s="1325"/>
      <c r="GM34" s="1325"/>
      <c r="GN34" s="1325"/>
      <c r="GO34" s="1325"/>
      <c r="GP34" s="1325"/>
      <c r="GQ34" s="1325"/>
      <c r="GR34" s="1325"/>
      <c r="GS34" s="1325"/>
      <c r="GT34" s="1325"/>
      <c r="GU34" s="1325"/>
      <c r="GV34" s="1325"/>
      <c r="GW34" s="1325"/>
      <c r="GX34" s="1325"/>
      <c r="GY34" s="1325"/>
      <c r="GZ34" s="1325"/>
      <c r="HA34" s="1325"/>
      <c r="HB34" s="1325"/>
      <c r="HC34" s="1325"/>
      <c r="HD34" s="1325"/>
      <c r="HE34" s="1325"/>
      <c r="HF34" s="1325"/>
      <c r="HG34" s="1325"/>
      <c r="HH34" s="1325"/>
      <c r="HI34" s="1325"/>
      <c r="HJ34" s="1325"/>
      <c r="HK34" s="1325"/>
      <c r="HL34" s="1325"/>
      <c r="HM34" s="1325"/>
      <c r="HN34" s="1325"/>
      <c r="HO34" s="1325"/>
      <c r="HP34" s="1325"/>
      <c r="HQ34" s="1325"/>
      <c r="HR34" s="1325"/>
      <c r="HS34" s="1325"/>
      <c r="HT34" s="1325"/>
      <c r="HU34" s="1325"/>
      <c r="HV34" s="1325"/>
      <c r="HW34" s="1325"/>
      <c r="HX34" s="1325"/>
      <c r="HY34" s="1325"/>
      <c r="HZ34" s="1325"/>
      <c r="IA34" s="1325"/>
      <c r="IB34" s="1325"/>
      <c r="IC34" s="1325"/>
      <c r="ID34" s="1325"/>
      <c r="IE34" s="1325"/>
      <c r="IF34" s="1325"/>
      <c r="IG34" s="1325"/>
      <c r="IH34" s="1325"/>
      <c r="II34" s="1325"/>
      <c r="IJ34" s="1325"/>
      <c r="IK34" s="1325"/>
      <c r="IL34" s="1325"/>
      <c r="IM34" s="1325"/>
      <c r="IN34" s="1325"/>
      <c r="IO34" s="1325"/>
      <c r="IP34" s="1325"/>
      <c r="IQ34" s="1325"/>
      <c r="IR34" s="1325"/>
      <c r="IS34" s="1325"/>
      <c r="IT34" s="1325"/>
      <c r="IU34" s="1325"/>
      <c r="IV34" s="1325"/>
    </row>
    <row r="35" spans="1:256" ht="25.5">
      <c r="A35" s="1326" t="s">
        <v>812</v>
      </c>
      <c r="B35" s="1327" t="s">
        <v>813</v>
      </c>
      <c r="C35" s="1328"/>
      <c r="D35" s="1328"/>
      <c r="E35" s="1325"/>
      <c r="F35" s="1325"/>
      <c r="G35" s="1325"/>
      <c r="H35" s="1325"/>
      <c r="I35" s="1325"/>
      <c r="J35" s="1325"/>
      <c r="K35" s="1325"/>
      <c r="L35" s="1325"/>
      <c r="M35" s="1325"/>
      <c r="N35" s="1325"/>
      <c r="O35" s="1325"/>
      <c r="P35" s="1325"/>
      <c r="Q35" s="1325"/>
      <c r="R35" s="1325"/>
      <c r="S35" s="1325"/>
      <c r="T35" s="1325"/>
      <c r="U35" s="1325"/>
      <c r="V35" s="1325"/>
      <c r="W35" s="1325"/>
      <c r="X35" s="1325"/>
      <c r="Y35" s="1325"/>
      <c r="Z35" s="1325"/>
      <c r="AA35" s="1325"/>
      <c r="AB35" s="1325"/>
      <c r="AC35" s="1325"/>
      <c r="AD35" s="1325"/>
      <c r="AE35" s="1325"/>
      <c r="AF35" s="1325"/>
      <c r="AG35" s="1325"/>
      <c r="AH35" s="1325"/>
      <c r="AI35" s="1325"/>
      <c r="AJ35" s="1325"/>
      <c r="AK35" s="1325"/>
      <c r="AL35" s="1325"/>
      <c r="AM35" s="1325"/>
      <c r="AN35" s="1325"/>
      <c r="AO35" s="1325"/>
      <c r="AP35" s="1325"/>
      <c r="AQ35" s="1325"/>
      <c r="AR35" s="1325"/>
      <c r="AS35" s="1325"/>
      <c r="AT35" s="1325"/>
      <c r="AU35" s="1325"/>
      <c r="AV35" s="1325"/>
      <c r="AW35" s="1325"/>
      <c r="AX35" s="1325"/>
      <c r="AY35" s="1325"/>
      <c r="AZ35" s="1325"/>
      <c r="BA35" s="1325"/>
      <c r="BB35" s="1325"/>
      <c r="BC35" s="1325"/>
      <c r="BD35" s="1325"/>
      <c r="BE35" s="1325"/>
      <c r="BF35" s="1325"/>
      <c r="BG35" s="1325"/>
      <c r="BH35" s="1325"/>
      <c r="BI35" s="1325"/>
      <c r="BJ35" s="1325"/>
      <c r="BK35" s="1325"/>
      <c r="BL35" s="1325"/>
      <c r="BM35" s="1325"/>
      <c r="BN35" s="1325"/>
      <c r="BO35" s="1325"/>
      <c r="BP35" s="1325"/>
      <c r="BQ35" s="1325"/>
      <c r="BR35" s="1325"/>
      <c r="BS35" s="1325"/>
      <c r="BT35" s="1325"/>
      <c r="BU35" s="1325"/>
      <c r="BV35" s="1325"/>
      <c r="BW35" s="1325"/>
      <c r="BX35" s="1325"/>
      <c r="BY35" s="1325"/>
      <c r="BZ35" s="1325"/>
      <c r="CA35" s="1325"/>
      <c r="CB35" s="1325"/>
      <c r="CC35" s="1325"/>
      <c r="CD35" s="1325"/>
      <c r="CE35" s="1325"/>
      <c r="CF35" s="1325"/>
      <c r="CG35" s="1325"/>
      <c r="CH35" s="1325"/>
      <c r="CI35" s="1325"/>
      <c r="CJ35" s="1325"/>
      <c r="CK35" s="1325"/>
      <c r="CL35" s="1325"/>
      <c r="CM35" s="1325"/>
      <c r="CN35" s="1325"/>
      <c r="CO35" s="1325"/>
      <c r="CP35" s="1325"/>
      <c r="CQ35" s="1325"/>
      <c r="CR35" s="1325"/>
      <c r="CS35" s="1325"/>
      <c r="CT35" s="1325"/>
      <c r="CU35" s="1325"/>
      <c r="CV35" s="1325"/>
      <c r="CW35" s="1325"/>
      <c r="CX35" s="1325"/>
      <c r="CY35" s="1325"/>
      <c r="CZ35" s="1325"/>
      <c r="DA35" s="1325"/>
      <c r="DB35" s="1325"/>
      <c r="DC35" s="1325"/>
      <c r="DD35" s="1325"/>
      <c r="DE35" s="1325"/>
      <c r="DF35" s="1325"/>
      <c r="DG35" s="1325"/>
      <c r="DH35" s="1325"/>
      <c r="DI35" s="1325"/>
      <c r="DJ35" s="1325"/>
      <c r="DK35" s="1325"/>
      <c r="DL35" s="1325"/>
      <c r="DM35" s="1325"/>
      <c r="DN35" s="1325"/>
      <c r="DO35" s="1325"/>
      <c r="DP35" s="1325"/>
      <c r="DQ35" s="1325"/>
      <c r="DR35" s="1325"/>
      <c r="DS35" s="1325"/>
      <c r="DT35" s="1325"/>
      <c r="DU35" s="1325"/>
      <c r="DV35" s="1325"/>
      <c r="DW35" s="1325"/>
      <c r="DX35" s="1325"/>
      <c r="DY35" s="1325"/>
      <c r="DZ35" s="1325"/>
      <c r="EA35" s="1325"/>
      <c r="EB35" s="1325"/>
      <c r="EC35" s="1325"/>
      <c r="ED35" s="1325"/>
      <c r="EE35" s="1325"/>
      <c r="EF35" s="1325"/>
      <c r="EG35" s="1325"/>
      <c r="EH35" s="1325"/>
      <c r="EI35" s="1325"/>
      <c r="EJ35" s="1325"/>
      <c r="EK35" s="1325"/>
      <c r="EL35" s="1325"/>
      <c r="EM35" s="1325"/>
      <c r="EN35" s="1325"/>
      <c r="EO35" s="1325"/>
      <c r="EP35" s="1325"/>
      <c r="EQ35" s="1325"/>
      <c r="ER35" s="1325"/>
      <c r="ES35" s="1325"/>
      <c r="ET35" s="1325"/>
      <c r="EU35" s="1325"/>
      <c r="EV35" s="1325"/>
      <c r="EW35" s="1325"/>
      <c r="EX35" s="1325"/>
      <c r="EY35" s="1325"/>
      <c r="EZ35" s="1325"/>
      <c r="FA35" s="1325"/>
      <c r="FB35" s="1325"/>
      <c r="FC35" s="1325"/>
      <c r="FD35" s="1325"/>
      <c r="FE35" s="1325"/>
      <c r="FF35" s="1325"/>
      <c r="FG35" s="1325"/>
      <c r="FH35" s="1325"/>
      <c r="FI35" s="1325"/>
      <c r="FJ35" s="1325"/>
      <c r="FK35" s="1325"/>
      <c r="FL35" s="1325"/>
      <c r="FM35" s="1325"/>
      <c r="FN35" s="1325"/>
      <c r="FO35" s="1325"/>
      <c r="FP35" s="1325"/>
      <c r="FQ35" s="1325"/>
      <c r="FR35" s="1325"/>
      <c r="FS35" s="1325"/>
      <c r="FT35" s="1325"/>
      <c r="FU35" s="1325"/>
      <c r="FV35" s="1325"/>
      <c r="FW35" s="1325"/>
      <c r="FX35" s="1325"/>
      <c r="FY35" s="1325"/>
      <c r="FZ35" s="1325"/>
      <c r="GA35" s="1325"/>
      <c r="GB35" s="1325"/>
      <c r="GC35" s="1325"/>
      <c r="GD35" s="1325"/>
      <c r="GE35" s="1325"/>
      <c r="GF35" s="1325"/>
      <c r="GG35" s="1325"/>
      <c r="GH35" s="1325"/>
      <c r="GI35" s="1325"/>
      <c r="GJ35" s="1325"/>
      <c r="GK35" s="1325"/>
      <c r="GL35" s="1325"/>
      <c r="GM35" s="1325"/>
      <c r="GN35" s="1325"/>
      <c r="GO35" s="1325"/>
      <c r="GP35" s="1325"/>
      <c r="GQ35" s="1325"/>
      <c r="GR35" s="1325"/>
      <c r="GS35" s="1325"/>
      <c r="GT35" s="1325"/>
      <c r="GU35" s="1325"/>
      <c r="GV35" s="1325"/>
      <c r="GW35" s="1325"/>
      <c r="GX35" s="1325"/>
      <c r="GY35" s="1325"/>
      <c r="GZ35" s="1325"/>
      <c r="HA35" s="1325"/>
      <c r="HB35" s="1325"/>
      <c r="HC35" s="1325"/>
      <c r="HD35" s="1325"/>
      <c r="HE35" s="1325"/>
      <c r="HF35" s="1325"/>
      <c r="HG35" s="1325"/>
      <c r="HH35" s="1325"/>
      <c r="HI35" s="1325"/>
      <c r="HJ35" s="1325"/>
      <c r="HK35" s="1325"/>
      <c r="HL35" s="1325"/>
      <c r="HM35" s="1325"/>
      <c r="HN35" s="1325"/>
      <c r="HO35" s="1325"/>
      <c r="HP35" s="1325"/>
      <c r="HQ35" s="1325"/>
      <c r="HR35" s="1325"/>
      <c r="HS35" s="1325"/>
      <c r="HT35" s="1325"/>
      <c r="HU35" s="1325"/>
      <c r="HV35" s="1325"/>
      <c r="HW35" s="1325"/>
      <c r="HX35" s="1325"/>
      <c r="HY35" s="1325"/>
      <c r="HZ35" s="1325"/>
      <c r="IA35" s="1325"/>
      <c r="IB35" s="1325"/>
      <c r="IC35" s="1325"/>
      <c r="ID35" s="1325"/>
      <c r="IE35" s="1325"/>
      <c r="IF35" s="1325"/>
      <c r="IG35" s="1325"/>
      <c r="IH35" s="1325"/>
      <c r="II35" s="1325"/>
      <c r="IJ35" s="1325"/>
      <c r="IK35" s="1325"/>
      <c r="IL35" s="1325"/>
      <c r="IM35" s="1325"/>
      <c r="IN35" s="1325"/>
      <c r="IO35" s="1325"/>
      <c r="IP35" s="1325"/>
      <c r="IQ35" s="1325"/>
      <c r="IR35" s="1325"/>
      <c r="IS35" s="1325"/>
      <c r="IT35" s="1325"/>
      <c r="IU35" s="1325"/>
      <c r="IV35" s="1325"/>
    </row>
    <row r="36" spans="1:256" ht="15.75">
      <c r="A36" s="1326" t="s">
        <v>814</v>
      </c>
      <c r="B36" s="1327" t="s">
        <v>815</v>
      </c>
      <c r="C36" s="1328"/>
      <c r="D36" s="1328"/>
      <c r="E36" s="1325"/>
      <c r="F36" s="1325"/>
      <c r="G36" s="1325"/>
      <c r="H36" s="1325"/>
      <c r="I36" s="1325"/>
      <c r="J36" s="1325"/>
      <c r="K36" s="1325"/>
      <c r="L36" s="1325"/>
      <c r="M36" s="1325"/>
      <c r="N36" s="1325"/>
      <c r="O36" s="1325"/>
      <c r="P36" s="1325"/>
      <c r="Q36" s="1325"/>
      <c r="R36" s="1325"/>
      <c r="S36" s="1325"/>
      <c r="T36" s="1325"/>
      <c r="U36" s="1325"/>
      <c r="V36" s="1325"/>
      <c r="W36" s="1325"/>
      <c r="X36" s="1325"/>
      <c r="Y36" s="1325"/>
      <c r="Z36" s="1325"/>
      <c r="AA36" s="1325"/>
      <c r="AB36" s="1325"/>
      <c r="AC36" s="1325"/>
      <c r="AD36" s="1325"/>
      <c r="AE36" s="1325"/>
      <c r="AF36" s="1325"/>
      <c r="AG36" s="1325"/>
      <c r="AH36" s="1325"/>
      <c r="AI36" s="1325"/>
      <c r="AJ36" s="1325"/>
      <c r="AK36" s="1325"/>
      <c r="AL36" s="1325"/>
      <c r="AM36" s="1325"/>
      <c r="AN36" s="1325"/>
      <c r="AO36" s="1325"/>
      <c r="AP36" s="1325"/>
      <c r="AQ36" s="1325"/>
      <c r="AR36" s="1325"/>
      <c r="AS36" s="1325"/>
      <c r="AT36" s="1325"/>
      <c r="AU36" s="1325"/>
      <c r="AV36" s="1325"/>
      <c r="AW36" s="1325"/>
      <c r="AX36" s="1325"/>
      <c r="AY36" s="1325"/>
      <c r="AZ36" s="1325"/>
      <c r="BA36" s="1325"/>
      <c r="BB36" s="1325"/>
      <c r="BC36" s="1325"/>
      <c r="BD36" s="1325"/>
      <c r="BE36" s="1325"/>
      <c r="BF36" s="1325"/>
      <c r="BG36" s="1325"/>
      <c r="BH36" s="1325"/>
      <c r="BI36" s="1325"/>
      <c r="BJ36" s="1325"/>
      <c r="BK36" s="1325"/>
      <c r="BL36" s="1325"/>
      <c r="BM36" s="1325"/>
      <c r="BN36" s="1325"/>
      <c r="BO36" s="1325"/>
      <c r="BP36" s="1325"/>
      <c r="BQ36" s="1325"/>
      <c r="BR36" s="1325"/>
      <c r="BS36" s="1325"/>
      <c r="BT36" s="1325"/>
      <c r="BU36" s="1325"/>
      <c r="BV36" s="1325"/>
      <c r="BW36" s="1325"/>
      <c r="BX36" s="1325"/>
      <c r="BY36" s="1325"/>
      <c r="BZ36" s="1325"/>
      <c r="CA36" s="1325"/>
      <c r="CB36" s="1325"/>
      <c r="CC36" s="1325"/>
      <c r="CD36" s="1325"/>
      <c r="CE36" s="1325"/>
      <c r="CF36" s="1325"/>
      <c r="CG36" s="1325"/>
      <c r="CH36" s="1325"/>
      <c r="CI36" s="1325"/>
      <c r="CJ36" s="1325"/>
      <c r="CK36" s="1325"/>
      <c r="CL36" s="1325"/>
      <c r="CM36" s="1325"/>
      <c r="CN36" s="1325"/>
      <c r="CO36" s="1325"/>
      <c r="CP36" s="1325"/>
      <c r="CQ36" s="1325"/>
      <c r="CR36" s="1325"/>
      <c r="CS36" s="1325"/>
      <c r="CT36" s="1325"/>
      <c r="CU36" s="1325"/>
      <c r="CV36" s="1325"/>
      <c r="CW36" s="1325"/>
      <c r="CX36" s="1325"/>
      <c r="CY36" s="1325"/>
      <c r="CZ36" s="1325"/>
      <c r="DA36" s="1325"/>
      <c r="DB36" s="1325"/>
      <c r="DC36" s="1325"/>
      <c r="DD36" s="1325"/>
      <c r="DE36" s="1325"/>
      <c r="DF36" s="1325"/>
      <c r="DG36" s="1325"/>
      <c r="DH36" s="1325"/>
      <c r="DI36" s="1325"/>
      <c r="DJ36" s="1325"/>
      <c r="DK36" s="1325"/>
      <c r="DL36" s="1325"/>
      <c r="DM36" s="1325"/>
      <c r="DN36" s="1325"/>
      <c r="DO36" s="1325"/>
      <c r="DP36" s="1325"/>
      <c r="DQ36" s="1325"/>
      <c r="DR36" s="1325"/>
      <c r="DS36" s="1325"/>
      <c r="DT36" s="1325"/>
      <c r="DU36" s="1325"/>
      <c r="DV36" s="1325"/>
      <c r="DW36" s="1325"/>
      <c r="DX36" s="1325"/>
      <c r="DY36" s="1325"/>
      <c r="DZ36" s="1325"/>
      <c r="EA36" s="1325"/>
      <c r="EB36" s="1325"/>
      <c r="EC36" s="1325"/>
      <c r="ED36" s="1325"/>
      <c r="EE36" s="1325"/>
      <c r="EF36" s="1325"/>
      <c r="EG36" s="1325"/>
      <c r="EH36" s="1325"/>
      <c r="EI36" s="1325"/>
      <c r="EJ36" s="1325"/>
      <c r="EK36" s="1325"/>
      <c r="EL36" s="1325"/>
      <c r="EM36" s="1325"/>
      <c r="EN36" s="1325"/>
      <c r="EO36" s="1325"/>
      <c r="EP36" s="1325"/>
      <c r="EQ36" s="1325"/>
      <c r="ER36" s="1325"/>
      <c r="ES36" s="1325"/>
      <c r="ET36" s="1325"/>
      <c r="EU36" s="1325"/>
      <c r="EV36" s="1325"/>
      <c r="EW36" s="1325"/>
      <c r="EX36" s="1325"/>
      <c r="EY36" s="1325"/>
      <c r="EZ36" s="1325"/>
      <c r="FA36" s="1325"/>
      <c r="FB36" s="1325"/>
      <c r="FC36" s="1325"/>
      <c r="FD36" s="1325"/>
      <c r="FE36" s="1325"/>
      <c r="FF36" s="1325"/>
      <c r="FG36" s="1325"/>
      <c r="FH36" s="1325"/>
      <c r="FI36" s="1325"/>
      <c r="FJ36" s="1325"/>
      <c r="FK36" s="1325"/>
      <c r="FL36" s="1325"/>
      <c r="FM36" s="1325"/>
      <c r="FN36" s="1325"/>
      <c r="FO36" s="1325"/>
      <c r="FP36" s="1325"/>
      <c r="FQ36" s="1325"/>
      <c r="FR36" s="1325"/>
      <c r="FS36" s="1325"/>
      <c r="FT36" s="1325"/>
      <c r="FU36" s="1325"/>
      <c r="FV36" s="1325"/>
      <c r="FW36" s="1325"/>
      <c r="FX36" s="1325"/>
      <c r="FY36" s="1325"/>
      <c r="FZ36" s="1325"/>
      <c r="GA36" s="1325"/>
      <c r="GB36" s="1325"/>
      <c r="GC36" s="1325"/>
      <c r="GD36" s="1325"/>
      <c r="GE36" s="1325"/>
      <c r="GF36" s="1325"/>
      <c r="GG36" s="1325"/>
      <c r="GH36" s="1325"/>
      <c r="GI36" s="1325"/>
      <c r="GJ36" s="1325"/>
      <c r="GK36" s="1325"/>
      <c r="GL36" s="1325"/>
      <c r="GM36" s="1325"/>
      <c r="GN36" s="1325"/>
      <c r="GO36" s="1325"/>
      <c r="GP36" s="1325"/>
      <c r="GQ36" s="1325"/>
      <c r="GR36" s="1325"/>
      <c r="GS36" s="1325"/>
      <c r="GT36" s="1325"/>
      <c r="GU36" s="1325"/>
      <c r="GV36" s="1325"/>
      <c r="GW36" s="1325"/>
      <c r="GX36" s="1325"/>
      <c r="GY36" s="1325"/>
      <c r="GZ36" s="1325"/>
      <c r="HA36" s="1325"/>
      <c r="HB36" s="1325"/>
      <c r="HC36" s="1325"/>
      <c r="HD36" s="1325"/>
      <c r="HE36" s="1325"/>
      <c r="HF36" s="1325"/>
      <c r="HG36" s="1325"/>
      <c r="HH36" s="1325"/>
      <c r="HI36" s="1325"/>
      <c r="HJ36" s="1325"/>
      <c r="HK36" s="1325"/>
      <c r="HL36" s="1325"/>
      <c r="HM36" s="1325"/>
      <c r="HN36" s="1325"/>
      <c r="HO36" s="1325"/>
      <c r="HP36" s="1325"/>
      <c r="HQ36" s="1325"/>
      <c r="HR36" s="1325"/>
      <c r="HS36" s="1325"/>
      <c r="HT36" s="1325"/>
      <c r="HU36" s="1325"/>
      <c r="HV36" s="1325"/>
      <c r="HW36" s="1325"/>
      <c r="HX36" s="1325"/>
      <c r="HY36" s="1325"/>
      <c r="HZ36" s="1325"/>
      <c r="IA36" s="1325"/>
      <c r="IB36" s="1325"/>
      <c r="IC36" s="1325"/>
      <c r="ID36" s="1325"/>
      <c r="IE36" s="1325"/>
      <c r="IF36" s="1325"/>
      <c r="IG36" s="1325"/>
      <c r="IH36" s="1325"/>
      <c r="II36" s="1325"/>
      <c r="IJ36" s="1325"/>
      <c r="IK36" s="1325"/>
      <c r="IL36" s="1325"/>
      <c r="IM36" s="1325"/>
      <c r="IN36" s="1325"/>
      <c r="IO36" s="1325"/>
      <c r="IP36" s="1325"/>
      <c r="IQ36" s="1325"/>
      <c r="IR36" s="1325"/>
      <c r="IS36" s="1325"/>
      <c r="IT36" s="1325"/>
      <c r="IU36" s="1325"/>
      <c r="IV36" s="1325"/>
    </row>
    <row r="37" spans="1:256" ht="15.75">
      <c r="A37" s="1326" t="s">
        <v>816</v>
      </c>
      <c r="B37" s="1327" t="s">
        <v>817</v>
      </c>
      <c r="C37" s="1328"/>
      <c r="D37" s="1328"/>
      <c r="E37" s="1325"/>
      <c r="F37" s="1325"/>
      <c r="G37" s="1325"/>
      <c r="H37" s="1325"/>
      <c r="I37" s="1325"/>
      <c r="J37" s="1325"/>
      <c r="K37" s="1325"/>
      <c r="L37" s="1325"/>
      <c r="M37" s="1325"/>
      <c r="N37" s="1325"/>
      <c r="O37" s="1325"/>
      <c r="P37" s="1325"/>
      <c r="Q37" s="1325"/>
      <c r="R37" s="1325"/>
      <c r="S37" s="1325"/>
      <c r="T37" s="1325"/>
      <c r="U37" s="1325"/>
      <c r="V37" s="1325"/>
      <c r="W37" s="1325"/>
      <c r="X37" s="1325"/>
      <c r="Y37" s="1325"/>
      <c r="Z37" s="1325"/>
      <c r="AA37" s="1325"/>
      <c r="AB37" s="1325"/>
      <c r="AC37" s="1325"/>
      <c r="AD37" s="1325"/>
      <c r="AE37" s="1325"/>
      <c r="AF37" s="1325"/>
      <c r="AG37" s="1325"/>
      <c r="AH37" s="1325"/>
      <c r="AI37" s="1325"/>
      <c r="AJ37" s="1325"/>
      <c r="AK37" s="1325"/>
      <c r="AL37" s="1325"/>
      <c r="AM37" s="1325"/>
      <c r="AN37" s="1325"/>
      <c r="AO37" s="1325"/>
      <c r="AP37" s="1325"/>
      <c r="AQ37" s="1325"/>
      <c r="AR37" s="1325"/>
      <c r="AS37" s="1325"/>
      <c r="AT37" s="1325"/>
      <c r="AU37" s="1325"/>
      <c r="AV37" s="1325"/>
      <c r="AW37" s="1325"/>
      <c r="AX37" s="1325"/>
      <c r="AY37" s="1325"/>
      <c r="AZ37" s="1325"/>
      <c r="BA37" s="1325"/>
      <c r="BB37" s="1325"/>
      <c r="BC37" s="1325"/>
      <c r="BD37" s="1325"/>
      <c r="BE37" s="1325"/>
      <c r="BF37" s="1325"/>
      <c r="BG37" s="1325"/>
      <c r="BH37" s="1325"/>
      <c r="BI37" s="1325"/>
      <c r="BJ37" s="1325"/>
      <c r="BK37" s="1325"/>
      <c r="BL37" s="1325"/>
      <c r="BM37" s="1325"/>
      <c r="BN37" s="1325"/>
      <c r="BO37" s="1325"/>
      <c r="BP37" s="1325"/>
      <c r="BQ37" s="1325"/>
      <c r="BR37" s="1325"/>
      <c r="BS37" s="1325"/>
      <c r="BT37" s="1325"/>
      <c r="BU37" s="1325"/>
      <c r="BV37" s="1325"/>
      <c r="BW37" s="1325"/>
      <c r="BX37" s="1325"/>
      <c r="BY37" s="1325"/>
      <c r="BZ37" s="1325"/>
      <c r="CA37" s="1325"/>
      <c r="CB37" s="1325"/>
      <c r="CC37" s="1325"/>
      <c r="CD37" s="1325"/>
      <c r="CE37" s="1325"/>
      <c r="CF37" s="1325"/>
      <c r="CG37" s="1325"/>
      <c r="CH37" s="1325"/>
      <c r="CI37" s="1325"/>
      <c r="CJ37" s="1325"/>
      <c r="CK37" s="1325"/>
      <c r="CL37" s="1325"/>
      <c r="CM37" s="1325"/>
      <c r="CN37" s="1325"/>
      <c r="CO37" s="1325"/>
      <c r="CP37" s="1325"/>
      <c r="CQ37" s="1325"/>
      <c r="CR37" s="1325"/>
      <c r="CS37" s="1325"/>
      <c r="CT37" s="1325"/>
      <c r="CU37" s="1325"/>
      <c r="CV37" s="1325"/>
      <c r="CW37" s="1325"/>
      <c r="CX37" s="1325"/>
      <c r="CY37" s="1325"/>
      <c r="CZ37" s="1325"/>
      <c r="DA37" s="1325"/>
      <c r="DB37" s="1325"/>
      <c r="DC37" s="1325"/>
      <c r="DD37" s="1325"/>
      <c r="DE37" s="1325"/>
      <c r="DF37" s="1325"/>
      <c r="DG37" s="1325"/>
      <c r="DH37" s="1325"/>
      <c r="DI37" s="1325"/>
      <c r="DJ37" s="1325"/>
      <c r="DK37" s="1325"/>
      <c r="DL37" s="1325"/>
      <c r="DM37" s="1325"/>
      <c r="DN37" s="1325"/>
      <c r="DO37" s="1325"/>
      <c r="DP37" s="1325"/>
      <c r="DQ37" s="1325"/>
      <c r="DR37" s="1325"/>
      <c r="DS37" s="1325"/>
      <c r="DT37" s="1325"/>
      <c r="DU37" s="1325"/>
      <c r="DV37" s="1325"/>
      <c r="DW37" s="1325"/>
      <c r="DX37" s="1325"/>
      <c r="DY37" s="1325"/>
      <c r="DZ37" s="1325"/>
      <c r="EA37" s="1325"/>
      <c r="EB37" s="1325"/>
      <c r="EC37" s="1325"/>
      <c r="ED37" s="1325"/>
      <c r="EE37" s="1325"/>
      <c r="EF37" s="1325"/>
      <c r="EG37" s="1325"/>
      <c r="EH37" s="1325"/>
      <c r="EI37" s="1325"/>
      <c r="EJ37" s="1325"/>
      <c r="EK37" s="1325"/>
      <c r="EL37" s="1325"/>
      <c r="EM37" s="1325"/>
      <c r="EN37" s="1325"/>
      <c r="EO37" s="1325"/>
      <c r="EP37" s="1325"/>
      <c r="EQ37" s="1325"/>
      <c r="ER37" s="1325"/>
      <c r="ES37" s="1325"/>
      <c r="ET37" s="1325"/>
      <c r="EU37" s="1325"/>
      <c r="EV37" s="1325"/>
      <c r="EW37" s="1325"/>
      <c r="EX37" s="1325"/>
      <c r="EY37" s="1325"/>
      <c r="EZ37" s="1325"/>
      <c r="FA37" s="1325"/>
      <c r="FB37" s="1325"/>
      <c r="FC37" s="1325"/>
      <c r="FD37" s="1325"/>
      <c r="FE37" s="1325"/>
      <c r="FF37" s="1325"/>
      <c r="FG37" s="1325"/>
      <c r="FH37" s="1325"/>
      <c r="FI37" s="1325"/>
      <c r="FJ37" s="1325"/>
      <c r="FK37" s="1325"/>
      <c r="FL37" s="1325"/>
      <c r="FM37" s="1325"/>
      <c r="FN37" s="1325"/>
      <c r="FO37" s="1325"/>
      <c r="FP37" s="1325"/>
      <c r="FQ37" s="1325"/>
      <c r="FR37" s="1325"/>
      <c r="FS37" s="1325"/>
      <c r="FT37" s="1325"/>
      <c r="FU37" s="1325"/>
      <c r="FV37" s="1325"/>
      <c r="FW37" s="1325"/>
      <c r="FX37" s="1325"/>
      <c r="FY37" s="1325"/>
      <c r="FZ37" s="1325"/>
      <c r="GA37" s="1325"/>
      <c r="GB37" s="1325"/>
      <c r="GC37" s="1325"/>
      <c r="GD37" s="1325"/>
      <c r="GE37" s="1325"/>
      <c r="GF37" s="1325"/>
      <c r="GG37" s="1325"/>
      <c r="GH37" s="1325"/>
      <c r="GI37" s="1325"/>
      <c r="GJ37" s="1325"/>
      <c r="GK37" s="1325"/>
      <c r="GL37" s="1325"/>
      <c r="GM37" s="1325"/>
      <c r="GN37" s="1325"/>
      <c r="GO37" s="1325"/>
      <c r="GP37" s="1325"/>
      <c r="GQ37" s="1325"/>
      <c r="GR37" s="1325"/>
      <c r="GS37" s="1325"/>
      <c r="GT37" s="1325"/>
      <c r="GU37" s="1325"/>
      <c r="GV37" s="1325"/>
      <c r="GW37" s="1325"/>
      <c r="GX37" s="1325"/>
      <c r="GY37" s="1325"/>
      <c r="GZ37" s="1325"/>
      <c r="HA37" s="1325"/>
      <c r="HB37" s="1325"/>
      <c r="HC37" s="1325"/>
      <c r="HD37" s="1325"/>
      <c r="HE37" s="1325"/>
      <c r="HF37" s="1325"/>
      <c r="HG37" s="1325"/>
      <c r="HH37" s="1325"/>
      <c r="HI37" s="1325"/>
      <c r="HJ37" s="1325"/>
      <c r="HK37" s="1325"/>
      <c r="HL37" s="1325"/>
      <c r="HM37" s="1325"/>
      <c r="HN37" s="1325"/>
      <c r="HO37" s="1325"/>
      <c r="HP37" s="1325"/>
      <c r="HQ37" s="1325"/>
      <c r="HR37" s="1325"/>
      <c r="HS37" s="1325"/>
      <c r="HT37" s="1325"/>
      <c r="HU37" s="1325"/>
      <c r="HV37" s="1325"/>
      <c r="HW37" s="1325"/>
      <c r="HX37" s="1325"/>
      <c r="HY37" s="1325"/>
      <c r="HZ37" s="1325"/>
      <c r="IA37" s="1325"/>
      <c r="IB37" s="1325"/>
      <c r="IC37" s="1325"/>
      <c r="ID37" s="1325"/>
      <c r="IE37" s="1325"/>
      <c r="IF37" s="1325"/>
      <c r="IG37" s="1325"/>
      <c r="IH37" s="1325"/>
      <c r="II37" s="1325"/>
      <c r="IJ37" s="1325"/>
      <c r="IK37" s="1325"/>
      <c r="IL37" s="1325"/>
      <c r="IM37" s="1325"/>
      <c r="IN37" s="1325"/>
      <c r="IO37" s="1325"/>
      <c r="IP37" s="1325"/>
      <c r="IQ37" s="1325"/>
      <c r="IR37" s="1325"/>
      <c r="IS37" s="1325"/>
      <c r="IT37" s="1325"/>
      <c r="IU37" s="1325"/>
      <c r="IV37" s="1325"/>
    </row>
    <row r="38" spans="1:256" ht="15.75">
      <c r="A38" s="1329" t="s">
        <v>818</v>
      </c>
      <c r="B38" s="1330" t="s">
        <v>819</v>
      </c>
      <c r="C38" s="1331">
        <f>SUM(C39+C44+C49)</f>
        <v>11580000</v>
      </c>
      <c r="D38" s="1331">
        <f>SUM(D39+D44+D49)</f>
        <v>11580000</v>
      </c>
      <c r="E38" s="1325"/>
      <c r="F38" s="1325"/>
      <c r="G38" s="1325"/>
      <c r="H38" s="1325"/>
      <c r="I38" s="1325"/>
      <c r="J38" s="1325"/>
      <c r="K38" s="1325"/>
      <c r="L38" s="1325"/>
      <c r="M38" s="1325"/>
      <c r="N38" s="1325"/>
      <c r="O38" s="1325"/>
      <c r="P38" s="1325"/>
      <c r="Q38" s="1325"/>
      <c r="R38" s="1325"/>
      <c r="S38" s="1325"/>
      <c r="T38" s="1325"/>
      <c r="U38" s="1325"/>
      <c r="V38" s="1325"/>
      <c r="W38" s="1325"/>
      <c r="X38" s="1325"/>
      <c r="Y38" s="1325"/>
      <c r="Z38" s="1325"/>
      <c r="AA38" s="1325"/>
      <c r="AB38" s="1325"/>
      <c r="AC38" s="1325"/>
      <c r="AD38" s="1325"/>
      <c r="AE38" s="1325"/>
      <c r="AF38" s="1325"/>
      <c r="AG38" s="1325"/>
      <c r="AH38" s="1325"/>
      <c r="AI38" s="1325"/>
      <c r="AJ38" s="1325"/>
      <c r="AK38" s="1325"/>
      <c r="AL38" s="1325"/>
      <c r="AM38" s="1325"/>
      <c r="AN38" s="1325"/>
      <c r="AO38" s="1325"/>
      <c r="AP38" s="1325"/>
      <c r="AQ38" s="1325"/>
      <c r="AR38" s="1325"/>
      <c r="AS38" s="1325"/>
      <c r="AT38" s="1325"/>
      <c r="AU38" s="1325"/>
      <c r="AV38" s="1325"/>
      <c r="AW38" s="1325"/>
      <c r="AX38" s="1325"/>
      <c r="AY38" s="1325"/>
      <c r="AZ38" s="1325"/>
      <c r="BA38" s="1325"/>
      <c r="BB38" s="1325"/>
      <c r="BC38" s="1325"/>
      <c r="BD38" s="1325"/>
      <c r="BE38" s="1325"/>
      <c r="BF38" s="1325"/>
      <c r="BG38" s="1325"/>
      <c r="BH38" s="1325"/>
      <c r="BI38" s="1325"/>
      <c r="BJ38" s="1325"/>
      <c r="BK38" s="1325"/>
      <c r="BL38" s="1325"/>
      <c r="BM38" s="1325"/>
      <c r="BN38" s="1325"/>
      <c r="BO38" s="1325"/>
      <c r="BP38" s="1325"/>
      <c r="BQ38" s="1325"/>
      <c r="BR38" s="1325"/>
      <c r="BS38" s="1325"/>
      <c r="BT38" s="1325"/>
      <c r="BU38" s="1325"/>
      <c r="BV38" s="1325"/>
      <c r="BW38" s="1325"/>
      <c r="BX38" s="1325"/>
      <c r="BY38" s="1325"/>
      <c r="BZ38" s="1325"/>
      <c r="CA38" s="1325"/>
      <c r="CB38" s="1325"/>
      <c r="CC38" s="1325"/>
      <c r="CD38" s="1325"/>
      <c r="CE38" s="1325"/>
      <c r="CF38" s="1325"/>
      <c r="CG38" s="1325"/>
      <c r="CH38" s="1325"/>
      <c r="CI38" s="1325"/>
      <c r="CJ38" s="1325"/>
      <c r="CK38" s="1325"/>
      <c r="CL38" s="1325"/>
      <c r="CM38" s="1325"/>
      <c r="CN38" s="1325"/>
      <c r="CO38" s="1325"/>
      <c r="CP38" s="1325"/>
      <c r="CQ38" s="1325"/>
      <c r="CR38" s="1325"/>
      <c r="CS38" s="1325"/>
      <c r="CT38" s="1325"/>
      <c r="CU38" s="1325"/>
      <c r="CV38" s="1325"/>
      <c r="CW38" s="1325"/>
      <c r="CX38" s="1325"/>
      <c r="CY38" s="1325"/>
      <c r="CZ38" s="1325"/>
      <c r="DA38" s="1325"/>
      <c r="DB38" s="1325"/>
      <c r="DC38" s="1325"/>
      <c r="DD38" s="1325"/>
      <c r="DE38" s="1325"/>
      <c r="DF38" s="1325"/>
      <c r="DG38" s="1325"/>
      <c r="DH38" s="1325"/>
      <c r="DI38" s="1325"/>
      <c r="DJ38" s="1325"/>
      <c r="DK38" s="1325"/>
      <c r="DL38" s="1325"/>
      <c r="DM38" s="1325"/>
      <c r="DN38" s="1325"/>
      <c r="DO38" s="1325"/>
      <c r="DP38" s="1325"/>
      <c r="DQ38" s="1325"/>
      <c r="DR38" s="1325"/>
      <c r="DS38" s="1325"/>
      <c r="DT38" s="1325"/>
      <c r="DU38" s="1325"/>
      <c r="DV38" s="1325"/>
      <c r="DW38" s="1325"/>
      <c r="DX38" s="1325"/>
      <c r="DY38" s="1325"/>
      <c r="DZ38" s="1325"/>
      <c r="EA38" s="1325"/>
      <c r="EB38" s="1325"/>
      <c r="EC38" s="1325"/>
      <c r="ED38" s="1325"/>
      <c r="EE38" s="1325"/>
      <c r="EF38" s="1325"/>
      <c r="EG38" s="1325"/>
      <c r="EH38" s="1325"/>
      <c r="EI38" s="1325"/>
      <c r="EJ38" s="1325"/>
      <c r="EK38" s="1325"/>
      <c r="EL38" s="1325"/>
      <c r="EM38" s="1325"/>
      <c r="EN38" s="1325"/>
      <c r="EO38" s="1325"/>
      <c r="EP38" s="1325"/>
      <c r="EQ38" s="1325"/>
      <c r="ER38" s="1325"/>
      <c r="ES38" s="1325"/>
      <c r="ET38" s="1325"/>
      <c r="EU38" s="1325"/>
      <c r="EV38" s="1325"/>
      <c r="EW38" s="1325"/>
      <c r="EX38" s="1325"/>
      <c r="EY38" s="1325"/>
      <c r="EZ38" s="1325"/>
      <c r="FA38" s="1325"/>
      <c r="FB38" s="1325"/>
      <c r="FC38" s="1325"/>
      <c r="FD38" s="1325"/>
      <c r="FE38" s="1325"/>
      <c r="FF38" s="1325"/>
      <c r="FG38" s="1325"/>
      <c r="FH38" s="1325"/>
      <c r="FI38" s="1325"/>
      <c r="FJ38" s="1325"/>
      <c r="FK38" s="1325"/>
      <c r="FL38" s="1325"/>
      <c r="FM38" s="1325"/>
      <c r="FN38" s="1325"/>
      <c r="FO38" s="1325"/>
      <c r="FP38" s="1325"/>
      <c r="FQ38" s="1325"/>
      <c r="FR38" s="1325"/>
      <c r="FS38" s="1325"/>
      <c r="FT38" s="1325"/>
      <c r="FU38" s="1325"/>
      <c r="FV38" s="1325"/>
      <c r="FW38" s="1325"/>
      <c r="FX38" s="1325"/>
      <c r="FY38" s="1325"/>
      <c r="FZ38" s="1325"/>
      <c r="GA38" s="1325"/>
      <c r="GB38" s="1325"/>
      <c r="GC38" s="1325"/>
      <c r="GD38" s="1325"/>
      <c r="GE38" s="1325"/>
      <c r="GF38" s="1325"/>
      <c r="GG38" s="1325"/>
      <c r="GH38" s="1325"/>
      <c r="GI38" s="1325"/>
      <c r="GJ38" s="1325"/>
      <c r="GK38" s="1325"/>
      <c r="GL38" s="1325"/>
      <c r="GM38" s="1325"/>
      <c r="GN38" s="1325"/>
      <c r="GO38" s="1325"/>
      <c r="GP38" s="1325"/>
      <c r="GQ38" s="1325"/>
      <c r="GR38" s="1325"/>
      <c r="GS38" s="1325"/>
      <c r="GT38" s="1325"/>
      <c r="GU38" s="1325"/>
      <c r="GV38" s="1325"/>
      <c r="GW38" s="1325"/>
      <c r="GX38" s="1325"/>
      <c r="GY38" s="1325"/>
      <c r="GZ38" s="1325"/>
      <c r="HA38" s="1325"/>
      <c r="HB38" s="1325"/>
      <c r="HC38" s="1325"/>
      <c r="HD38" s="1325"/>
      <c r="HE38" s="1325"/>
      <c r="HF38" s="1325"/>
      <c r="HG38" s="1325"/>
      <c r="HH38" s="1325"/>
      <c r="HI38" s="1325"/>
      <c r="HJ38" s="1325"/>
      <c r="HK38" s="1325"/>
      <c r="HL38" s="1325"/>
      <c r="HM38" s="1325"/>
      <c r="HN38" s="1325"/>
      <c r="HO38" s="1325"/>
      <c r="HP38" s="1325"/>
      <c r="HQ38" s="1325"/>
      <c r="HR38" s="1325"/>
      <c r="HS38" s="1325"/>
      <c r="HT38" s="1325"/>
      <c r="HU38" s="1325"/>
      <c r="HV38" s="1325"/>
      <c r="HW38" s="1325"/>
      <c r="HX38" s="1325"/>
      <c r="HY38" s="1325"/>
      <c r="HZ38" s="1325"/>
      <c r="IA38" s="1325"/>
      <c r="IB38" s="1325"/>
      <c r="IC38" s="1325"/>
      <c r="ID38" s="1325"/>
      <c r="IE38" s="1325"/>
      <c r="IF38" s="1325"/>
      <c r="IG38" s="1325"/>
      <c r="IH38" s="1325"/>
      <c r="II38" s="1325"/>
      <c r="IJ38" s="1325"/>
      <c r="IK38" s="1325"/>
      <c r="IL38" s="1325"/>
      <c r="IM38" s="1325"/>
      <c r="IN38" s="1325"/>
      <c r="IO38" s="1325"/>
      <c r="IP38" s="1325"/>
      <c r="IQ38" s="1325"/>
      <c r="IR38" s="1325"/>
      <c r="IS38" s="1325"/>
      <c r="IT38" s="1325"/>
      <c r="IU38" s="1325"/>
      <c r="IV38" s="1325"/>
    </row>
    <row r="39" spans="1:256" ht="15.75">
      <c r="A39" s="1329" t="s">
        <v>820</v>
      </c>
      <c r="B39" s="1330" t="s">
        <v>821</v>
      </c>
      <c r="C39" s="1331">
        <f>SUM(C40:C43)</f>
        <v>11580000</v>
      </c>
      <c r="D39" s="1331">
        <f>SUM(D40:D43)</f>
        <v>11580000</v>
      </c>
      <c r="E39" s="1325"/>
      <c r="F39" s="1325"/>
      <c r="G39" s="1325"/>
      <c r="H39" s="1325"/>
      <c r="I39" s="1325"/>
      <c r="J39" s="1325"/>
      <c r="K39" s="1325"/>
      <c r="L39" s="1325"/>
      <c r="M39" s="1325"/>
      <c r="N39" s="1325"/>
      <c r="O39" s="1325"/>
      <c r="P39" s="1325"/>
      <c r="Q39" s="1325"/>
      <c r="R39" s="1325"/>
      <c r="S39" s="1325"/>
      <c r="T39" s="1325"/>
      <c r="U39" s="1325"/>
      <c r="V39" s="1325"/>
      <c r="W39" s="1325"/>
      <c r="X39" s="1325"/>
      <c r="Y39" s="1325"/>
      <c r="Z39" s="1325"/>
      <c r="AA39" s="1325"/>
      <c r="AB39" s="1325"/>
      <c r="AC39" s="1325"/>
      <c r="AD39" s="1325"/>
      <c r="AE39" s="1325"/>
      <c r="AF39" s="1325"/>
      <c r="AG39" s="1325"/>
      <c r="AH39" s="1325"/>
      <c r="AI39" s="1325"/>
      <c r="AJ39" s="1325"/>
      <c r="AK39" s="1325"/>
      <c r="AL39" s="1325"/>
      <c r="AM39" s="1325"/>
      <c r="AN39" s="1325"/>
      <c r="AO39" s="1325"/>
      <c r="AP39" s="1325"/>
      <c r="AQ39" s="1325"/>
      <c r="AR39" s="1325"/>
      <c r="AS39" s="1325"/>
      <c r="AT39" s="1325"/>
      <c r="AU39" s="1325"/>
      <c r="AV39" s="1325"/>
      <c r="AW39" s="1325"/>
      <c r="AX39" s="1325"/>
      <c r="AY39" s="1325"/>
      <c r="AZ39" s="1325"/>
      <c r="BA39" s="1325"/>
      <c r="BB39" s="1325"/>
      <c r="BC39" s="1325"/>
      <c r="BD39" s="1325"/>
      <c r="BE39" s="1325"/>
      <c r="BF39" s="1325"/>
      <c r="BG39" s="1325"/>
      <c r="BH39" s="1325"/>
      <c r="BI39" s="1325"/>
      <c r="BJ39" s="1325"/>
      <c r="BK39" s="1325"/>
      <c r="BL39" s="1325"/>
      <c r="BM39" s="1325"/>
      <c r="BN39" s="1325"/>
      <c r="BO39" s="1325"/>
      <c r="BP39" s="1325"/>
      <c r="BQ39" s="1325"/>
      <c r="BR39" s="1325"/>
      <c r="BS39" s="1325"/>
      <c r="BT39" s="1325"/>
      <c r="BU39" s="1325"/>
      <c r="BV39" s="1325"/>
      <c r="BW39" s="1325"/>
      <c r="BX39" s="1325"/>
      <c r="BY39" s="1325"/>
      <c r="BZ39" s="1325"/>
      <c r="CA39" s="1325"/>
      <c r="CB39" s="1325"/>
      <c r="CC39" s="1325"/>
      <c r="CD39" s="1325"/>
      <c r="CE39" s="1325"/>
      <c r="CF39" s="1325"/>
      <c r="CG39" s="1325"/>
      <c r="CH39" s="1325"/>
      <c r="CI39" s="1325"/>
      <c r="CJ39" s="1325"/>
      <c r="CK39" s="1325"/>
      <c r="CL39" s="1325"/>
      <c r="CM39" s="1325"/>
      <c r="CN39" s="1325"/>
      <c r="CO39" s="1325"/>
      <c r="CP39" s="1325"/>
      <c r="CQ39" s="1325"/>
      <c r="CR39" s="1325"/>
      <c r="CS39" s="1325"/>
      <c r="CT39" s="1325"/>
      <c r="CU39" s="1325"/>
      <c r="CV39" s="1325"/>
      <c r="CW39" s="1325"/>
      <c r="CX39" s="1325"/>
      <c r="CY39" s="1325"/>
      <c r="CZ39" s="1325"/>
      <c r="DA39" s="1325"/>
      <c r="DB39" s="1325"/>
      <c r="DC39" s="1325"/>
      <c r="DD39" s="1325"/>
      <c r="DE39" s="1325"/>
      <c r="DF39" s="1325"/>
      <c r="DG39" s="1325"/>
      <c r="DH39" s="1325"/>
      <c r="DI39" s="1325"/>
      <c r="DJ39" s="1325"/>
      <c r="DK39" s="1325"/>
      <c r="DL39" s="1325"/>
      <c r="DM39" s="1325"/>
      <c r="DN39" s="1325"/>
      <c r="DO39" s="1325"/>
      <c r="DP39" s="1325"/>
      <c r="DQ39" s="1325"/>
      <c r="DR39" s="1325"/>
      <c r="DS39" s="1325"/>
      <c r="DT39" s="1325"/>
      <c r="DU39" s="1325"/>
      <c r="DV39" s="1325"/>
      <c r="DW39" s="1325"/>
      <c r="DX39" s="1325"/>
      <c r="DY39" s="1325"/>
      <c r="DZ39" s="1325"/>
      <c r="EA39" s="1325"/>
      <c r="EB39" s="1325"/>
      <c r="EC39" s="1325"/>
      <c r="ED39" s="1325"/>
      <c r="EE39" s="1325"/>
      <c r="EF39" s="1325"/>
      <c r="EG39" s="1325"/>
      <c r="EH39" s="1325"/>
      <c r="EI39" s="1325"/>
      <c r="EJ39" s="1325"/>
      <c r="EK39" s="1325"/>
      <c r="EL39" s="1325"/>
      <c r="EM39" s="1325"/>
      <c r="EN39" s="1325"/>
      <c r="EO39" s="1325"/>
      <c r="EP39" s="1325"/>
      <c r="EQ39" s="1325"/>
      <c r="ER39" s="1325"/>
      <c r="ES39" s="1325"/>
      <c r="ET39" s="1325"/>
      <c r="EU39" s="1325"/>
      <c r="EV39" s="1325"/>
      <c r="EW39" s="1325"/>
      <c r="EX39" s="1325"/>
      <c r="EY39" s="1325"/>
      <c r="EZ39" s="1325"/>
      <c r="FA39" s="1325"/>
      <c r="FB39" s="1325"/>
      <c r="FC39" s="1325"/>
      <c r="FD39" s="1325"/>
      <c r="FE39" s="1325"/>
      <c r="FF39" s="1325"/>
      <c r="FG39" s="1325"/>
      <c r="FH39" s="1325"/>
      <c r="FI39" s="1325"/>
      <c r="FJ39" s="1325"/>
      <c r="FK39" s="1325"/>
      <c r="FL39" s="1325"/>
      <c r="FM39" s="1325"/>
      <c r="FN39" s="1325"/>
      <c r="FO39" s="1325"/>
      <c r="FP39" s="1325"/>
      <c r="FQ39" s="1325"/>
      <c r="FR39" s="1325"/>
      <c r="FS39" s="1325"/>
      <c r="FT39" s="1325"/>
      <c r="FU39" s="1325"/>
      <c r="FV39" s="1325"/>
      <c r="FW39" s="1325"/>
      <c r="FX39" s="1325"/>
      <c r="FY39" s="1325"/>
      <c r="FZ39" s="1325"/>
      <c r="GA39" s="1325"/>
      <c r="GB39" s="1325"/>
      <c r="GC39" s="1325"/>
      <c r="GD39" s="1325"/>
      <c r="GE39" s="1325"/>
      <c r="GF39" s="1325"/>
      <c r="GG39" s="1325"/>
      <c r="GH39" s="1325"/>
      <c r="GI39" s="1325"/>
      <c r="GJ39" s="1325"/>
      <c r="GK39" s="1325"/>
      <c r="GL39" s="1325"/>
      <c r="GM39" s="1325"/>
      <c r="GN39" s="1325"/>
      <c r="GO39" s="1325"/>
      <c r="GP39" s="1325"/>
      <c r="GQ39" s="1325"/>
      <c r="GR39" s="1325"/>
      <c r="GS39" s="1325"/>
      <c r="GT39" s="1325"/>
      <c r="GU39" s="1325"/>
      <c r="GV39" s="1325"/>
      <c r="GW39" s="1325"/>
      <c r="GX39" s="1325"/>
      <c r="GY39" s="1325"/>
      <c r="GZ39" s="1325"/>
      <c r="HA39" s="1325"/>
      <c r="HB39" s="1325"/>
      <c r="HC39" s="1325"/>
      <c r="HD39" s="1325"/>
      <c r="HE39" s="1325"/>
      <c r="HF39" s="1325"/>
      <c r="HG39" s="1325"/>
      <c r="HH39" s="1325"/>
      <c r="HI39" s="1325"/>
      <c r="HJ39" s="1325"/>
      <c r="HK39" s="1325"/>
      <c r="HL39" s="1325"/>
      <c r="HM39" s="1325"/>
      <c r="HN39" s="1325"/>
      <c r="HO39" s="1325"/>
      <c r="HP39" s="1325"/>
      <c r="HQ39" s="1325"/>
      <c r="HR39" s="1325"/>
      <c r="HS39" s="1325"/>
      <c r="HT39" s="1325"/>
      <c r="HU39" s="1325"/>
      <c r="HV39" s="1325"/>
      <c r="HW39" s="1325"/>
      <c r="HX39" s="1325"/>
      <c r="HY39" s="1325"/>
      <c r="HZ39" s="1325"/>
      <c r="IA39" s="1325"/>
      <c r="IB39" s="1325"/>
      <c r="IC39" s="1325"/>
      <c r="ID39" s="1325"/>
      <c r="IE39" s="1325"/>
      <c r="IF39" s="1325"/>
      <c r="IG39" s="1325"/>
      <c r="IH39" s="1325"/>
      <c r="II39" s="1325"/>
      <c r="IJ39" s="1325"/>
      <c r="IK39" s="1325"/>
      <c r="IL39" s="1325"/>
      <c r="IM39" s="1325"/>
      <c r="IN39" s="1325"/>
      <c r="IO39" s="1325"/>
      <c r="IP39" s="1325"/>
      <c r="IQ39" s="1325"/>
      <c r="IR39" s="1325"/>
      <c r="IS39" s="1325"/>
      <c r="IT39" s="1325"/>
      <c r="IU39" s="1325"/>
      <c r="IV39" s="1325"/>
    </row>
    <row r="40" spans="1:256" ht="15.75">
      <c r="A40" s="1326" t="s">
        <v>822</v>
      </c>
      <c r="B40" s="1327" t="s">
        <v>823</v>
      </c>
      <c r="C40" s="1328"/>
      <c r="D40" s="1328"/>
      <c r="E40" s="1325"/>
      <c r="F40" s="1325"/>
      <c r="G40" s="1325"/>
      <c r="H40" s="1325"/>
      <c r="I40" s="1325"/>
      <c r="J40" s="1325"/>
      <c r="K40" s="1325"/>
      <c r="L40" s="1325"/>
      <c r="M40" s="1325"/>
      <c r="N40" s="1325"/>
      <c r="O40" s="1325"/>
      <c r="P40" s="1325"/>
      <c r="Q40" s="1325"/>
      <c r="R40" s="1325"/>
      <c r="S40" s="1325"/>
      <c r="T40" s="1325"/>
      <c r="U40" s="1325"/>
      <c r="V40" s="1325"/>
      <c r="W40" s="1325"/>
      <c r="X40" s="1325"/>
      <c r="Y40" s="1325"/>
      <c r="Z40" s="1325"/>
      <c r="AA40" s="1325"/>
      <c r="AB40" s="1325"/>
      <c r="AC40" s="1325"/>
      <c r="AD40" s="1325"/>
      <c r="AE40" s="1325"/>
      <c r="AF40" s="1325"/>
      <c r="AG40" s="1325"/>
      <c r="AH40" s="1325"/>
      <c r="AI40" s="1325"/>
      <c r="AJ40" s="1325"/>
      <c r="AK40" s="1325"/>
      <c r="AL40" s="1325"/>
      <c r="AM40" s="1325"/>
      <c r="AN40" s="1325"/>
      <c r="AO40" s="1325"/>
      <c r="AP40" s="1325"/>
      <c r="AQ40" s="1325"/>
      <c r="AR40" s="1325"/>
      <c r="AS40" s="1325"/>
      <c r="AT40" s="1325"/>
      <c r="AU40" s="1325"/>
      <c r="AV40" s="1325"/>
      <c r="AW40" s="1325"/>
      <c r="AX40" s="1325"/>
      <c r="AY40" s="1325"/>
      <c r="AZ40" s="1325"/>
      <c r="BA40" s="1325"/>
      <c r="BB40" s="1325"/>
      <c r="BC40" s="1325"/>
      <c r="BD40" s="1325"/>
      <c r="BE40" s="1325"/>
      <c r="BF40" s="1325"/>
      <c r="BG40" s="1325"/>
      <c r="BH40" s="1325"/>
      <c r="BI40" s="1325"/>
      <c r="BJ40" s="1325"/>
      <c r="BK40" s="1325"/>
      <c r="BL40" s="1325"/>
      <c r="BM40" s="1325"/>
      <c r="BN40" s="1325"/>
      <c r="BO40" s="1325"/>
      <c r="BP40" s="1325"/>
      <c r="BQ40" s="1325"/>
      <c r="BR40" s="1325"/>
      <c r="BS40" s="1325"/>
      <c r="BT40" s="1325"/>
      <c r="BU40" s="1325"/>
      <c r="BV40" s="1325"/>
      <c r="BW40" s="1325"/>
      <c r="BX40" s="1325"/>
      <c r="BY40" s="1325"/>
      <c r="BZ40" s="1325"/>
      <c r="CA40" s="1325"/>
      <c r="CB40" s="1325"/>
      <c r="CC40" s="1325"/>
      <c r="CD40" s="1325"/>
      <c r="CE40" s="1325"/>
      <c r="CF40" s="1325"/>
      <c r="CG40" s="1325"/>
      <c r="CH40" s="1325"/>
      <c r="CI40" s="1325"/>
      <c r="CJ40" s="1325"/>
      <c r="CK40" s="1325"/>
      <c r="CL40" s="1325"/>
      <c r="CM40" s="1325"/>
      <c r="CN40" s="1325"/>
      <c r="CO40" s="1325"/>
      <c r="CP40" s="1325"/>
      <c r="CQ40" s="1325"/>
      <c r="CR40" s="1325"/>
      <c r="CS40" s="1325"/>
      <c r="CT40" s="1325"/>
      <c r="CU40" s="1325"/>
      <c r="CV40" s="1325"/>
      <c r="CW40" s="1325"/>
      <c r="CX40" s="1325"/>
      <c r="CY40" s="1325"/>
      <c r="CZ40" s="1325"/>
      <c r="DA40" s="1325"/>
      <c r="DB40" s="1325"/>
      <c r="DC40" s="1325"/>
      <c r="DD40" s="1325"/>
      <c r="DE40" s="1325"/>
      <c r="DF40" s="1325"/>
      <c r="DG40" s="1325"/>
      <c r="DH40" s="1325"/>
      <c r="DI40" s="1325"/>
      <c r="DJ40" s="1325"/>
      <c r="DK40" s="1325"/>
      <c r="DL40" s="1325"/>
      <c r="DM40" s="1325"/>
      <c r="DN40" s="1325"/>
      <c r="DO40" s="1325"/>
      <c r="DP40" s="1325"/>
      <c r="DQ40" s="1325"/>
      <c r="DR40" s="1325"/>
      <c r="DS40" s="1325"/>
      <c r="DT40" s="1325"/>
      <c r="DU40" s="1325"/>
      <c r="DV40" s="1325"/>
      <c r="DW40" s="1325"/>
      <c r="DX40" s="1325"/>
      <c r="DY40" s="1325"/>
      <c r="DZ40" s="1325"/>
      <c r="EA40" s="1325"/>
      <c r="EB40" s="1325"/>
      <c r="EC40" s="1325"/>
      <c r="ED40" s="1325"/>
      <c r="EE40" s="1325"/>
      <c r="EF40" s="1325"/>
      <c r="EG40" s="1325"/>
      <c r="EH40" s="1325"/>
      <c r="EI40" s="1325"/>
      <c r="EJ40" s="1325"/>
      <c r="EK40" s="1325"/>
      <c r="EL40" s="1325"/>
      <c r="EM40" s="1325"/>
      <c r="EN40" s="1325"/>
      <c r="EO40" s="1325"/>
      <c r="EP40" s="1325"/>
      <c r="EQ40" s="1325"/>
      <c r="ER40" s="1325"/>
      <c r="ES40" s="1325"/>
      <c r="ET40" s="1325"/>
      <c r="EU40" s="1325"/>
      <c r="EV40" s="1325"/>
      <c r="EW40" s="1325"/>
      <c r="EX40" s="1325"/>
      <c r="EY40" s="1325"/>
      <c r="EZ40" s="1325"/>
      <c r="FA40" s="1325"/>
      <c r="FB40" s="1325"/>
      <c r="FC40" s="1325"/>
      <c r="FD40" s="1325"/>
      <c r="FE40" s="1325"/>
      <c r="FF40" s="1325"/>
      <c r="FG40" s="1325"/>
      <c r="FH40" s="1325"/>
      <c r="FI40" s="1325"/>
      <c r="FJ40" s="1325"/>
      <c r="FK40" s="1325"/>
      <c r="FL40" s="1325"/>
      <c r="FM40" s="1325"/>
      <c r="FN40" s="1325"/>
      <c r="FO40" s="1325"/>
      <c r="FP40" s="1325"/>
      <c r="FQ40" s="1325"/>
      <c r="FR40" s="1325"/>
      <c r="FS40" s="1325"/>
      <c r="FT40" s="1325"/>
      <c r="FU40" s="1325"/>
      <c r="FV40" s="1325"/>
      <c r="FW40" s="1325"/>
      <c r="FX40" s="1325"/>
      <c r="FY40" s="1325"/>
      <c r="FZ40" s="1325"/>
      <c r="GA40" s="1325"/>
      <c r="GB40" s="1325"/>
      <c r="GC40" s="1325"/>
      <c r="GD40" s="1325"/>
      <c r="GE40" s="1325"/>
      <c r="GF40" s="1325"/>
      <c r="GG40" s="1325"/>
      <c r="GH40" s="1325"/>
      <c r="GI40" s="1325"/>
      <c r="GJ40" s="1325"/>
      <c r="GK40" s="1325"/>
      <c r="GL40" s="1325"/>
      <c r="GM40" s="1325"/>
      <c r="GN40" s="1325"/>
      <c r="GO40" s="1325"/>
      <c r="GP40" s="1325"/>
      <c r="GQ40" s="1325"/>
      <c r="GR40" s="1325"/>
      <c r="GS40" s="1325"/>
      <c r="GT40" s="1325"/>
      <c r="GU40" s="1325"/>
      <c r="GV40" s="1325"/>
      <c r="GW40" s="1325"/>
      <c r="GX40" s="1325"/>
      <c r="GY40" s="1325"/>
      <c r="GZ40" s="1325"/>
      <c r="HA40" s="1325"/>
      <c r="HB40" s="1325"/>
      <c r="HC40" s="1325"/>
      <c r="HD40" s="1325"/>
      <c r="HE40" s="1325"/>
      <c r="HF40" s="1325"/>
      <c r="HG40" s="1325"/>
      <c r="HH40" s="1325"/>
      <c r="HI40" s="1325"/>
      <c r="HJ40" s="1325"/>
      <c r="HK40" s="1325"/>
      <c r="HL40" s="1325"/>
      <c r="HM40" s="1325"/>
      <c r="HN40" s="1325"/>
      <c r="HO40" s="1325"/>
      <c r="HP40" s="1325"/>
      <c r="HQ40" s="1325"/>
      <c r="HR40" s="1325"/>
      <c r="HS40" s="1325"/>
      <c r="HT40" s="1325"/>
      <c r="HU40" s="1325"/>
      <c r="HV40" s="1325"/>
      <c r="HW40" s="1325"/>
      <c r="HX40" s="1325"/>
      <c r="HY40" s="1325"/>
      <c r="HZ40" s="1325"/>
      <c r="IA40" s="1325"/>
      <c r="IB40" s="1325"/>
      <c r="IC40" s="1325"/>
      <c r="ID40" s="1325"/>
      <c r="IE40" s="1325"/>
      <c r="IF40" s="1325"/>
      <c r="IG40" s="1325"/>
      <c r="IH40" s="1325"/>
      <c r="II40" s="1325"/>
      <c r="IJ40" s="1325"/>
      <c r="IK40" s="1325"/>
      <c r="IL40" s="1325"/>
      <c r="IM40" s="1325"/>
      <c r="IN40" s="1325"/>
      <c r="IO40" s="1325"/>
      <c r="IP40" s="1325"/>
      <c r="IQ40" s="1325"/>
      <c r="IR40" s="1325"/>
      <c r="IS40" s="1325"/>
      <c r="IT40" s="1325"/>
      <c r="IU40" s="1325"/>
      <c r="IV40" s="1325"/>
    </row>
    <row r="41" spans="1:256" ht="25.5">
      <c r="A41" s="1326" t="s">
        <v>824</v>
      </c>
      <c r="B41" s="1327" t="s">
        <v>825</v>
      </c>
      <c r="C41" s="1328"/>
      <c r="D41" s="1328"/>
      <c r="E41" s="1325"/>
      <c r="F41" s="1325"/>
      <c r="G41" s="1325"/>
      <c r="H41" s="1325"/>
      <c r="I41" s="1325"/>
      <c r="J41" s="1325"/>
      <c r="K41" s="1325"/>
      <c r="L41" s="1325"/>
      <c r="M41" s="1325"/>
      <c r="N41" s="1325"/>
      <c r="O41" s="1325"/>
      <c r="P41" s="1325"/>
      <c r="Q41" s="1325"/>
      <c r="R41" s="1325"/>
      <c r="S41" s="1325"/>
      <c r="T41" s="1325"/>
      <c r="U41" s="1325"/>
      <c r="V41" s="1325"/>
      <c r="W41" s="1325"/>
      <c r="X41" s="1325"/>
      <c r="Y41" s="1325"/>
      <c r="Z41" s="1325"/>
      <c r="AA41" s="1325"/>
      <c r="AB41" s="1325"/>
      <c r="AC41" s="1325"/>
      <c r="AD41" s="1325"/>
      <c r="AE41" s="1325"/>
      <c r="AF41" s="1325"/>
      <c r="AG41" s="1325"/>
      <c r="AH41" s="1325"/>
      <c r="AI41" s="1325"/>
      <c r="AJ41" s="1325"/>
      <c r="AK41" s="1325"/>
      <c r="AL41" s="1325"/>
      <c r="AM41" s="1325"/>
      <c r="AN41" s="1325"/>
      <c r="AO41" s="1325"/>
      <c r="AP41" s="1325"/>
      <c r="AQ41" s="1325"/>
      <c r="AR41" s="1325"/>
      <c r="AS41" s="1325"/>
      <c r="AT41" s="1325"/>
      <c r="AU41" s="1325"/>
      <c r="AV41" s="1325"/>
      <c r="AW41" s="1325"/>
      <c r="AX41" s="1325"/>
      <c r="AY41" s="1325"/>
      <c r="AZ41" s="1325"/>
      <c r="BA41" s="1325"/>
      <c r="BB41" s="1325"/>
      <c r="BC41" s="1325"/>
      <c r="BD41" s="1325"/>
      <c r="BE41" s="1325"/>
      <c r="BF41" s="1325"/>
      <c r="BG41" s="1325"/>
      <c r="BH41" s="1325"/>
      <c r="BI41" s="1325"/>
      <c r="BJ41" s="1325"/>
      <c r="BK41" s="1325"/>
      <c r="BL41" s="1325"/>
      <c r="BM41" s="1325"/>
      <c r="BN41" s="1325"/>
      <c r="BO41" s="1325"/>
      <c r="BP41" s="1325"/>
      <c r="BQ41" s="1325"/>
      <c r="BR41" s="1325"/>
      <c r="BS41" s="1325"/>
      <c r="BT41" s="1325"/>
      <c r="BU41" s="1325"/>
      <c r="BV41" s="1325"/>
      <c r="BW41" s="1325"/>
      <c r="BX41" s="1325"/>
      <c r="BY41" s="1325"/>
      <c r="BZ41" s="1325"/>
      <c r="CA41" s="1325"/>
      <c r="CB41" s="1325"/>
      <c r="CC41" s="1325"/>
      <c r="CD41" s="1325"/>
      <c r="CE41" s="1325"/>
      <c r="CF41" s="1325"/>
      <c r="CG41" s="1325"/>
      <c r="CH41" s="1325"/>
      <c r="CI41" s="1325"/>
      <c r="CJ41" s="1325"/>
      <c r="CK41" s="1325"/>
      <c r="CL41" s="1325"/>
      <c r="CM41" s="1325"/>
      <c r="CN41" s="1325"/>
      <c r="CO41" s="1325"/>
      <c r="CP41" s="1325"/>
      <c r="CQ41" s="1325"/>
      <c r="CR41" s="1325"/>
      <c r="CS41" s="1325"/>
      <c r="CT41" s="1325"/>
      <c r="CU41" s="1325"/>
      <c r="CV41" s="1325"/>
      <c r="CW41" s="1325"/>
      <c r="CX41" s="1325"/>
      <c r="CY41" s="1325"/>
      <c r="CZ41" s="1325"/>
      <c r="DA41" s="1325"/>
      <c r="DB41" s="1325"/>
      <c r="DC41" s="1325"/>
      <c r="DD41" s="1325"/>
      <c r="DE41" s="1325"/>
      <c r="DF41" s="1325"/>
      <c r="DG41" s="1325"/>
      <c r="DH41" s="1325"/>
      <c r="DI41" s="1325"/>
      <c r="DJ41" s="1325"/>
      <c r="DK41" s="1325"/>
      <c r="DL41" s="1325"/>
      <c r="DM41" s="1325"/>
      <c r="DN41" s="1325"/>
      <c r="DO41" s="1325"/>
      <c r="DP41" s="1325"/>
      <c r="DQ41" s="1325"/>
      <c r="DR41" s="1325"/>
      <c r="DS41" s="1325"/>
      <c r="DT41" s="1325"/>
      <c r="DU41" s="1325"/>
      <c r="DV41" s="1325"/>
      <c r="DW41" s="1325"/>
      <c r="DX41" s="1325"/>
      <c r="DY41" s="1325"/>
      <c r="DZ41" s="1325"/>
      <c r="EA41" s="1325"/>
      <c r="EB41" s="1325"/>
      <c r="EC41" s="1325"/>
      <c r="ED41" s="1325"/>
      <c r="EE41" s="1325"/>
      <c r="EF41" s="1325"/>
      <c r="EG41" s="1325"/>
      <c r="EH41" s="1325"/>
      <c r="EI41" s="1325"/>
      <c r="EJ41" s="1325"/>
      <c r="EK41" s="1325"/>
      <c r="EL41" s="1325"/>
      <c r="EM41" s="1325"/>
      <c r="EN41" s="1325"/>
      <c r="EO41" s="1325"/>
      <c r="EP41" s="1325"/>
      <c r="EQ41" s="1325"/>
      <c r="ER41" s="1325"/>
      <c r="ES41" s="1325"/>
      <c r="ET41" s="1325"/>
      <c r="EU41" s="1325"/>
      <c r="EV41" s="1325"/>
      <c r="EW41" s="1325"/>
      <c r="EX41" s="1325"/>
      <c r="EY41" s="1325"/>
      <c r="EZ41" s="1325"/>
      <c r="FA41" s="1325"/>
      <c r="FB41" s="1325"/>
      <c r="FC41" s="1325"/>
      <c r="FD41" s="1325"/>
      <c r="FE41" s="1325"/>
      <c r="FF41" s="1325"/>
      <c r="FG41" s="1325"/>
      <c r="FH41" s="1325"/>
      <c r="FI41" s="1325"/>
      <c r="FJ41" s="1325"/>
      <c r="FK41" s="1325"/>
      <c r="FL41" s="1325"/>
      <c r="FM41" s="1325"/>
      <c r="FN41" s="1325"/>
      <c r="FO41" s="1325"/>
      <c r="FP41" s="1325"/>
      <c r="FQ41" s="1325"/>
      <c r="FR41" s="1325"/>
      <c r="FS41" s="1325"/>
      <c r="FT41" s="1325"/>
      <c r="FU41" s="1325"/>
      <c r="FV41" s="1325"/>
      <c r="FW41" s="1325"/>
      <c r="FX41" s="1325"/>
      <c r="FY41" s="1325"/>
      <c r="FZ41" s="1325"/>
      <c r="GA41" s="1325"/>
      <c r="GB41" s="1325"/>
      <c r="GC41" s="1325"/>
      <c r="GD41" s="1325"/>
      <c r="GE41" s="1325"/>
      <c r="GF41" s="1325"/>
      <c r="GG41" s="1325"/>
      <c r="GH41" s="1325"/>
      <c r="GI41" s="1325"/>
      <c r="GJ41" s="1325"/>
      <c r="GK41" s="1325"/>
      <c r="GL41" s="1325"/>
      <c r="GM41" s="1325"/>
      <c r="GN41" s="1325"/>
      <c r="GO41" s="1325"/>
      <c r="GP41" s="1325"/>
      <c r="GQ41" s="1325"/>
      <c r="GR41" s="1325"/>
      <c r="GS41" s="1325"/>
      <c r="GT41" s="1325"/>
      <c r="GU41" s="1325"/>
      <c r="GV41" s="1325"/>
      <c r="GW41" s="1325"/>
      <c r="GX41" s="1325"/>
      <c r="GY41" s="1325"/>
      <c r="GZ41" s="1325"/>
      <c r="HA41" s="1325"/>
      <c r="HB41" s="1325"/>
      <c r="HC41" s="1325"/>
      <c r="HD41" s="1325"/>
      <c r="HE41" s="1325"/>
      <c r="HF41" s="1325"/>
      <c r="HG41" s="1325"/>
      <c r="HH41" s="1325"/>
      <c r="HI41" s="1325"/>
      <c r="HJ41" s="1325"/>
      <c r="HK41" s="1325"/>
      <c r="HL41" s="1325"/>
      <c r="HM41" s="1325"/>
      <c r="HN41" s="1325"/>
      <c r="HO41" s="1325"/>
      <c r="HP41" s="1325"/>
      <c r="HQ41" s="1325"/>
      <c r="HR41" s="1325"/>
      <c r="HS41" s="1325"/>
      <c r="HT41" s="1325"/>
      <c r="HU41" s="1325"/>
      <c r="HV41" s="1325"/>
      <c r="HW41" s="1325"/>
      <c r="HX41" s="1325"/>
      <c r="HY41" s="1325"/>
      <c r="HZ41" s="1325"/>
      <c r="IA41" s="1325"/>
      <c r="IB41" s="1325"/>
      <c r="IC41" s="1325"/>
      <c r="ID41" s="1325"/>
      <c r="IE41" s="1325"/>
      <c r="IF41" s="1325"/>
      <c r="IG41" s="1325"/>
      <c r="IH41" s="1325"/>
      <c r="II41" s="1325"/>
      <c r="IJ41" s="1325"/>
      <c r="IK41" s="1325"/>
      <c r="IL41" s="1325"/>
      <c r="IM41" s="1325"/>
      <c r="IN41" s="1325"/>
      <c r="IO41" s="1325"/>
      <c r="IP41" s="1325"/>
      <c r="IQ41" s="1325"/>
      <c r="IR41" s="1325"/>
      <c r="IS41" s="1325"/>
      <c r="IT41" s="1325"/>
      <c r="IU41" s="1325"/>
      <c r="IV41" s="1325"/>
    </row>
    <row r="42" spans="1:256" ht="15.75">
      <c r="A42" s="1326" t="s">
        <v>826</v>
      </c>
      <c r="B42" s="1327" t="s">
        <v>827</v>
      </c>
      <c r="C42" s="1328">
        <v>11580000</v>
      </c>
      <c r="D42" s="1328">
        <v>11580000</v>
      </c>
      <c r="E42" s="1325"/>
      <c r="F42" s="1325"/>
      <c r="G42" s="1325"/>
      <c r="H42" s="1325"/>
      <c r="I42" s="1325"/>
      <c r="J42" s="1325"/>
      <c r="K42" s="1325"/>
      <c r="L42" s="1325"/>
      <c r="M42" s="1325"/>
      <c r="N42" s="1325"/>
      <c r="O42" s="1325"/>
      <c r="P42" s="1325"/>
      <c r="Q42" s="1325"/>
      <c r="R42" s="1325"/>
      <c r="S42" s="1325"/>
      <c r="T42" s="1325"/>
      <c r="U42" s="1325"/>
      <c r="V42" s="1325"/>
      <c r="W42" s="1325"/>
      <c r="X42" s="1325"/>
      <c r="Y42" s="1325"/>
      <c r="Z42" s="1325"/>
      <c r="AA42" s="1325"/>
      <c r="AB42" s="1325"/>
      <c r="AC42" s="1325"/>
      <c r="AD42" s="1325"/>
      <c r="AE42" s="1325"/>
      <c r="AF42" s="1325"/>
      <c r="AG42" s="1325"/>
      <c r="AH42" s="1325"/>
      <c r="AI42" s="1325"/>
      <c r="AJ42" s="1325"/>
      <c r="AK42" s="1325"/>
      <c r="AL42" s="1325"/>
      <c r="AM42" s="1325"/>
      <c r="AN42" s="1325"/>
      <c r="AO42" s="1325"/>
      <c r="AP42" s="1325"/>
      <c r="AQ42" s="1325"/>
      <c r="AR42" s="1325"/>
      <c r="AS42" s="1325"/>
      <c r="AT42" s="1325"/>
      <c r="AU42" s="1325"/>
      <c r="AV42" s="1325"/>
      <c r="AW42" s="1325"/>
      <c r="AX42" s="1325"/>
      <c r="AY42" s="1325"/>
      <c r="AZ42" s="1325"/>
      <c r="BA42" s="1325"/>
      <c r="BB42" s="1325"/>
      <c r="BC42" s="1325"/>
      <c r="BD42" s="1325"/>
      <c r="BE42" s="1325"/>
      <c r="BF42" s="1325"/>
      <c r="BG42" s="1325"/>
      <c r="BH42" s="1325"/>
      <c r="BI42" s="1325"/>
      <c r="BJ42" s="1325"/>
      <c r="BK42" s="1325"/>
      <c r="BL42" s="1325"/>
      <c r="BM42" s="1325"/>
      <c r="BN42" s="1325"/>
      <c r="BO42" s="1325"/>
      <c r="BP42" s="1325"/>
      <c r="BQ42" s="1325"/>
      <c r="BR42" s="1325"/>
      <c r="BS42" s="1325"/>
      <c r="BT42" s="1325"/>
      <c r="BU42" s="1325"/>
      <c r="BV42" s="1325"/>
      <c r="BW42" s="1325"/>
      <c r="BX42" s="1325"/>
      <c r="BY42" s="1325"/>
      <c r="BZ42" s="1325"/>
      <c r="CA42" s="1325"/>
      <c r="CB42" s="1325"/>
      <c r="CC42" s="1325"/>
      <c r="CD42" s="1325"/>
      <c r="CE42" s="1325"/>
      <c r="CF42" s="1325"/>
      <c r="CG42" s="1325"/>
      <c r="CH42" s="1325"/>
      <c r="CI42" s="1325"/>
      <c r="CJ42" s="1325"/>
      <c r="CK42" s="1325"/>
      <c r="CL42" s="1325"/>
      <c r="CM42" s="1325"/>
      <c r="CN42" s="1325"/>
      <c r="CO42" s="1325"/>
      <c r="CP42" s="1325"/>
      <c r="CQ42" s="1325"/>
      <c r="CR42" s="1325"/>
      <c r="CS42" s="1325"/>
      <c r="CT42" s="1325"/>
      <c r="CU42" s="1325"/>
      <c r="CV42" s="1325"/>
      <c r="CW42" s="1325"/>
      <c r="CX42" s="1325"/>
      <c r="CY42" s="1325"/>
      <c r="CZ42" s="1325"/>
      <c r="DA42" s="1325"/>
      <c r="DB42" s="1325"/>
      <c r="DC42" s="1325"/>
      <c r="DD42" s="1325"/>
      <c r="DE42" s="1325"/>
      <c r="DF42" s="1325"/>
      <c r="DG42" s="1325"/>
      <c r="DH42" s="1325"/>
      <c r="DI42" s="1325"/>
      <c r="DJ42" s="1325"/>
      <c r="DK42" s="1325"/>
      <c r="DL42" s="1325"/>
      <c r="DM42" s="1325"/>
      <c r="DN42" s="1325"/>
      <c r="DO42" s="1325"/>
      <c r="DP42" s="1325"/>
      <c r="DQ42" s="1325"/>
      <c r="DR42" s="1325"/>
      <c r="DS42" s="1325"/>
      <c r="DT42" s="1325"/>
      <c r="DU42" s="1325"/>
      <c r="DV42" s="1325"/>
      <c r="DW42" s="1325"/>
      <c r="DX42" s="1325"/>
      <c r="DY42" s="1325"/>
      <c r="DZ42" s="1325"/>
      <c r="EA42" s="1325"/>
      <c r="EB42" s="1325"/>
      <c r="EC42" s="1325"/>
      <c r="ED42" s="1325"/>
      <c r="EE42" s="1325"/>
      <c r="EF42" s="1325"/>
      <c r="EG42" s="1325"/>
      <c r="EH42" s="1325"/>
      <c r="EI42" s="1325"/>
      <c r="EJ42" s="1325"/>
      <c r="EK42" s="1325"/>
      <c r="EL42" s="1325"/>
      <c r="EM42" s="1325"/>
      <c r="EN42" s="1325"/>
      <c r="EO42" s="1325"/>
      <c r="EP42" s="1325"/>
      <c r="EQ42" s="1325"/>
      <c r="ER42" s="1325"/>
      <c r="ES42" s="1325"/>
      <c r="ET42" s="1325"/>
      <c r="EU42" s="1325"/>
      <c r="EV42" s="1325"/>
      <c r="EW42" s="1325"/>
      <c r="EX42" s="1325"/>
      <c r="EY42" s="1325"/>
      <c r="EZ42" s="1325"/>
      <c r="FA42" s="1325"/>
      <c r="FB42" s="1325"/>
      <c r="FC42" s="1325"/>
      <c r="FD42" s="1325"/>
      <c r="FE42" s="1325"/>
      <c r="FF42" s="1325"/>
      <c r="FG42" s="1325"/>
      <c r="FH42" s="1325"/>
      <c r="FI42" s="1325"/>
      <c r="FJ42" s="1325"/>
      <c r="FK42" s="1325"/>
      <c r="FL42" s="1325"/>
      <c r="FM42" s="1325"/>
      <c r="FN42" s="1325"/>
      <c r="FO42" s="1325"/>
      <c r="FP42" s="1325"/>
      <c r="FQ42" s="1325"/>
      <c r="FR42" s="1325"/>
      <c r="FS42" s="1325"/>
      <c r="FT42" s="1325"/>
      <c r="FU42" s="1325"/>
      <c r="FV42" s="1325"/>
      <c r="FW42" s="1325"/>
      <c r="FX42" s="1325"/>
      <c r="FY42" s="1325"/>
      <c r="FZ42" s="1325"/>
      <c r="GA42" s="1325"/>
      <c r="GB42" s="1325"/>
      <c r="GC42" s="1325"/>
      <c r="GD42" s="1325"/>
      <c r="GE42" s="1325"/>
      <c r="GF42" s="1325"/>
      <c r="GG42" s="1325"/>
      <c r="GH42" s="1325"/>
      <c r="GI42" s="1325"/>
      <c r="GJ42" s="1325"/>
      <c r="GK42" s="1325"/>
      <c r="GL42" s="1325"/>
      <c r="GM42" s="1325"/>
      <c r="GN42" s="1325"/>
      <c r="GO42" s="1325"/>
      <c r="GP42" s="1325"/>
      <c r="GQ42" s="1325"/>
      <c r="GR42" s="1325"/>
      <c r="GS42" s="1325"/>
      <c r="GT42" s="1325"/>
      <c r="GU42" s="1325"/>
      <c r="GV42" s="1325"/>
      <c r="GW42" s="1325"/>
      <c r="GX42" s="1325"/>
      <c r="GY42" s="1325"/>
      <c r="GZ42" s="1325"/>
      <c r="HA42" s="1325"/>
      <c r="HB42" s="1325"/>
      <c r="HC42" s="1325"/>
      <c r="HD42" s="1325"/>
      <c r="HE42" s="1325"/>
      <c r="HF42" s="1325"/>
      <c r="HG42" s="1325"/>
      <c r="HH42" s="1325"/>
      <c r="HI42" s="1325"/>
      <c r="HJ42" s="1325"/>
      <c r="HK42" s="1325"/>
      <c r="HL42" s="1325"/>
      <c r="HM42" s="1325"/>
      <c r="HN42" s="1325"/>
      <c r="HO42" s="1325"/>
      <c r="HP42" s="1325"/>
      <c r="HQ42" s="1325"/>
      <c r="HR42" s="1325"/>
      <c r="HS42" s="1325"/>
      <c r="HT42" s="1325"/>
      <c r="HU42" s="1325"/>
      <c r="HV42" s="1325"/>
      <c r="HW42" s="1325"/>
      <c r="HX42" s="1325"/>
      <c r="HY42" s="1325"/>
      <c r="HZ42" s="1325"/>
      <c r="IA42" s="1325"/>
      <c r="IB42" s="1325"/>
      <c r="IC42" s="1325"/>
      <c r="ID42" s="1325"/>
      <c r="IE42" s="1325"/>
      <c r="IF42" s="1325"/>
      <c r="IG42" s="1325"/>
      <c r="IH42" s="1325"/>
      <c r="II42" s="1325"/>
      <c r="IJ42" s="1325"/>
      <c r="IK42" s="1325"/>
      <c r="IL42" s="1325"/>
      <c r="IM42" s="1325"/>
      <c r="IN42" s="1325"/>
      <c r="IO42" s="1325"/>
      <c r="IP42" s="1325"/>
      <c r="IQ42" s="1325"/>
      <c r="IR42" s="1325"/>
      <c r="IS42" s="1325"/>
      <c r="IT42" s="1325"/>
      <c r="IU42" s="1325"/>
      <c r="IV42" s="1325"/>
    </row>
    <row r="43" spans="1:256" ht="15.75">
      <c r="A43" s="1326" t="s">
        <v>828</v>
      </c>
      <c r="B43" s="1327" t="s">
        <v>829</v>
      </c>
      <c r="C43" s="1328"/>
      <c r="D43" s="1328"/>
      <c r="E43" s="1325"/>
      <c r="F43" s="1325"/>
      <c r="G43" s="1325"/>
      <c r="H43" s="1325"/>
      <c r="I43" s="1325"/>
      <c r="J43" s="1325"/>
      <c r="K43" s="1325"/>
      <c r="L43" s="1325"/>
      <c r="M43" s="1325"/>
      <c r="N43" s="1325"/>
      <c r="O43" s="1325"/>
      <c r="P43" s="1325"/>
      <c r="Q43" s="1325"/>
      <c r="R43" s="1325"/>
      <c r="S43" s="1325"/>
      <c r="T43" s="1325"/>
      <c r="U43" s="1325"/>
      <c r="V43" s="1325"/>
      <c r="W43" s="1325"/>
      <c r="X43" s="1325"/>
      <c r="Y43" s="1325"/>
      <c r="Z43" s="1325"/>
      <c r="AA43" s="1325"/>
      <c r="AB43" s="1325"/>
      <c r="AC43" s="1325"/>
      <c r="AD43" s="1325"/>
      <c r="AE43" s="1325"/>
      <c r="AF43" s="1325"/>
      <c r="AG43" s="1325"/>
      <c r="AH43" s="1325"/>
      <c r="AI43" s="1325"/>
      <c r="AJ43" s="1325"/>
      <c r="AK43" s="1325"/>
      <c r="AL43" s="1325"/>
      <c r="AM43" s="1325"/>
      <c r="AN43" s="1325"/>
      <c r="AO43" s="1325"/>
      <c r="AP43" s="1325"/>
      <c r="AQ43" s="1325"/>
      <c r="AR43" s="1325"/>
      <c r="AS43" s="1325"/>
      <c r="AT43" s="1325"/>
      <c r="AU43" s="1325"/>
      <c r="AV43" s="1325"/>
      <c r="AW43" s="1325"/>
      <c r="AX43" s="1325"/>
      <c r="AY43" s="1325"/>
      <c r="AZ43" s="1325"/>
      <c r="BA43" s="1325"/>
      <c r="BB43" s="1325"/>
      <c r="BC43" s="1325"/>
      <c r="BD43" s="1325"/>
      <c r="BE43" s="1325"/>
      <c r="BF43" s="1325"/>
      <c r="BG43" s="1325"/>
      <c r="BH43" s="1325"/>
      <c r="BI43" s="1325"/>
      <c r="BJ43" s="1325"/>
      <c r="BK43" s="1325"/>
      <c r="BL43" s="1325"/>
      <c r="BM43" s="1325"/>
      <c r="BN43" s="1325"/>
      <c r="BO43" s="1325"/>
      <c r="BP43" s="1325"/>
      <c r="BQ43" s="1325"/>
      <c r="BR43" s="1325"/>
      <c r="BS43" s="1325"/>
      <c r="BT43" s="1325"/>
      <c r="BU43" s="1325"/>
      <c r="BV43" s="1325"/>
      <c r="BW43" s="1325"/>
      <c r="BX43" s="1325"/>
      <c r="BY43" s="1325"/>
      <c r="BZ43" s="1325"/>
      <c r="CA43" s="1325"/>
      <c r="CB43" s="1325"/>
      <c r="CC43" s="1325"/>
      <c r="CD43" s="1325"/>
      <c r="CE43" s="1325"/>
      <c r="CF43" s="1325"/>
      <c r="CG43" s="1325"/>
      <c r="CH43" s="1325"/>
      <c r="CI43" s="1325"/>
      <c r="CJ43" s="1325"/>
      <c r="CK43" s="1325"/>
      <c r="CL43" s="1325"/>
      <c r="CM43" s="1325"/>
      <c r="CN43" s="1325"/>
      <c r="CO43" s="1325"/>
      <c r="CP43" s="1325"/>
      <c r="CQ43" s="1325"/>
      <c r="CR43" s="1325"/>
      <c r="CS43" s="1325"/>
      <c r="CT43" s="1325"/>
      <c r="CU43" s="1325"/>
      <c r="CV43" s="1325"/>
      <c r="CW43" s="1325"/>
      <c r="CX43" s="1325"/>
      <c r="CY43" s="1325"/>
      <c r="CZ43" s="1325"/>
      <c r="DA43" s="1325"/>
      <c r="DB43" s="1325"/>
      <c r="DC43" s="1325"/>
      <c r="DD43" s="1325"/>
      <c r="DE43" s="1325"/>
      <c r="DF43" s="1325"/>
      <c r="DG43" s="1325"/>
      <c r="DH43" s="1325"/>
      <c r="DI43" s="1325"/>
      <c r="DJ43" s="1325"/>
      <c r="DK43" s="1325"/>
      <c r="DL43" s="1325"/>
      <c r="DM43" s="1325"/>
      <c r="DN43" s="1325"/>
      <c r="DO43" s="1325"/>
      <c r="DP43" s="1325"/>
      <c r="DQ43" s="1325"/>
      <c r="DR43" s="1325"/>
      <c r="DS43" s="1325"/>
      <c r="DT43" s="1325"/>
      <c r="DU43" s="1325"/>
      <c r="DV43" s="1325"/>
      <c r="DW43" s="1325"/>
      <c r="DX43" s="1325"/>
      <c r="DY43" s="1325"/>
      <c r="DZ43" s="1325"/>
      <c r="EA43" s="1325"/>
      <c r="EB43" s="1325"/>
      <c r="EC43" s="1325"/>
      <c r="ED43" s="1325"/>
      <c r="EE43" s="1325"/>
      <c r="EF43" s="1325"/>
      <c r="EG43" s="1325"/>
      <c r="EH43" s="1325"/>
      <c r="EI43" s="1325"/>
      <c r="EJ43" s="1325"/>
      <c r="EK43" s="1325"/>
      <c r="EL43" s="1325"/>
      <c r="EM43" s="1325"/>
      <c r="EN43" s="1325"/>
      <c r="EO43" s="1325"/>
      <c r="EP43" s="1325"/>
      <c r="EQ43" s="1325"/>
      <c r="ER43" s="1325"/>
      <c r="ES43" s="1325"/>
      <c r="ET43" s="1325"/>
      <c r="EU43" s="1325"/>
      <c r="EV43" s="1325"/>
      <c r="EW43" s="1325"/>
      <c r="EX43" s="1325"/>
      <c r="EY43" s="1325"/>
      <c r="EZ43" s="1325"/>
      <c r="FA43" s="1325"/>
      <c r="FB43" s="1325"/>
      <c r="FC43" s="1325"/>
      <c r="FD43" s="1325"/>
      <c r="FE43" s="1325"/>
      <c r="FF43" s="1325"/>
      <c r="FG43" s="1325"/>
      <c r="FH43" s="1325"/>
      <c r="FI43" s="1325"/>
      <c r="FJ43" s="1325"/>
      <c r="FK43" s="1325"/>
      <c r="FL43" s="1325"/>
      <c r="FM43" s="1325"/>
      <c r="FN43" s="1325"/>
      <c r="FO43" s="1325"/>
      <c r="FP43" s="1325"/>
      <c r="FQ43" s="1325"/>
      <c r="FR43" s="1325"/>
      <c r="FS43" s="1325"/>
      <c r="FT43" s="1325"/>
      <c r="FU43" s="1325"/>
      <c r="FV43" s="1325"/>
      <c r="FW43" s="1325"/>
      <c r="FX43" s="1325"/>
      <c r="FY43" s="1325"/>
      <c r="FZ43" s="1325"/>
      <c r="GA43" s="1325"/>
      <c r="GB43" s="1325"/>
      <c r="GC43" s="1325"/>
      <c r="GD43" s="1325"/>
      <c r="GE43" s="1325"/>
      <c r="GF43" s="1325"/>
      <c r="GG43" s="1325"/>
      <c r="GH43" s="1325"/>
      <c r="GI43" s="1325"/>
      <c r="GJ43" s="1325"/>
      <c r="GK43" s="1325"/>
      <c r="GL43" s="1325"/>
      <c r="GM43" s="1325"/>
      <c r="GN43" s="1325"/>
      <c r="GO43" s="1325"/>
      <c r="GP43" s="1325"/>
      <c r="GQ43" s="1325"/>
      <c r="GR43" s="1325"/>
      <c r="GS43" s="1325"/>
      <c r="GT43" s="1325"/>
      <c r="GU43" s="1325"/>
      <c r="GV43" s="1325"/>
      <c r="GW43" s="1325"/>
      <c r="GX43" s="1325"/>
      <c r="GY43" s="1325"/>
      <c r="GZ43" s="1325"/>
      <c r="HA43" s="1325"/>
      <c r="HB43" s="1325"/>
      <c r="HC43" s="1325"/>
      <c r="HD43" s="1325"/>
      <c r="HE43" s="1325"/>
      <c r="HF43" s="1325"/>
      <c r="HG43" s="1325"/>
      <c r="HH43" s="1325"/>
      <c r="HI43" s="1325"/>
      <c r="HJ43" s="1325"/>
      <c r="HK43" s="1325"/>
      <c r="HL43" s="1325"/>
      <c r="HM43" s="1325"/>
      <c r="HN43" s="1325"/>
      <c r="HO43" s="1325"/>
      <c r="HP43" s="1325"/>
      <c r="HQ43" s="1325"/>
      <c r="HR43" s="1325"/>
      <c r="HS43" s="1325"/>
      <c r="HT43" s="1325"/>
      <c r="HU43" s="1325"/>
      <c r="HV43" s="1325"/>
      <c r="HW43" s="1325"/>
      <c r="HX43" s="1325"/>
      <c r="HY43" s="1325"/>
      <c r="HZ43" s="1325"/>
      <c r="IA43" s="1325"/>
      <c r="IB43" s="1325"/>
      <c r="IC43" s="1325"/>
      <c r="ID43" s="1325"/>
      <c r="IE43" s="1325"/>
      <c r="IF43" s="1325"/>
      <c r="IG43" s="1325"/>
      <c r="IH43" s="1325"/>
      <c r="II43" s="1325"/>
      <c r="IJ43" s="1325"/>
      <c r="IK43" s="1325"/>
      <c r="IL43" s="1325"/>
      <c r="IM43" s="1325"/>
      <c r="IN43" s="1325"/>
      <c r="IO43" s="1325"/>
      <c r="IP43" s="1325"/>
      <c r="IQ43" s="1325"/>
      <c r="IR43" s="1325"/>
      <c r="IS43" s="1325"/>
      <c r="IT43" s="1325"/>
      <c r="IU43" s="1325"/>
      <c r="IV43" s="1325"/>
    </row>
    <row r="44" spans="1:256" ht="15.75">
      <c r="A44" s="1329" t="s">
        <v>830</v>
      </c>
      <c r="B44" s="1330" t="s">
        <v>831</v>
      </c>
      <c r="C44" s="1332"/>
      <c r="D44" s="1332"/>
      <c r="E44" s="1325"/>
      <c r="F44" s="1325"/>
      <c r="G44" s="1325"/>
      <c r="H44" s="1325"/>
      <c r="I44" s="1325"/>
      <c r="J44" s="1325"/>
      <c r="K44" s="1325"/>
      <c r="L44" s="1325"/>
      <c r="M44" s="1325"/>
      <c r="N44" s="1325"/>
      <c r="O44" s="1325"/>
      <c r="P44" s="1325"/>
      <c r="Q44" s="1325"/>
      <c r="R44" s="1325"/>
      <c r="S44" s="1325"/>
      <c r="T44" s="1325"/>
      <c r="U44" s="1325"/>
      <c r="V44" s="1325"/>
      <c r="W44" s="1325"/>
      <c r="X44" s="1325"/>
      <c r="Y44" s="1325"/>
      <c r="Z44" s="1325"/>
      <c r="AA44" s="1325"/>
      <c r="AB44" s="1325"/>
      <c r="AC44" s="1325"/>
      <c r="AD44" s="1325"/>
      <c r="AE44" s="1325"/>
      <c r="AF44" s="1325"/>
      <c r="AG44" s="1325"/>
      <c r="AH44" s="1325"/>
      <c r="AI44" s="1325"/>
      <c r="AJ44" s="1325"/>
      <c r="AK44" s="1325"/>
      <c r="AL44" s="1325"/>
      <c r="AM44" s="1325"/>
      <c r="AN44" s="1325"/>
      <c r="AO44" s="1325"/>
      <c r="AP44" s="1325"/>
      <c r="AQ44" s="1325"/>
      <c r="AR44" s="1325"/>
      <c r="AS44" s="1325"/>
      <c r="AT44" s="1325"/>
      <c r="AU44" s="1325"/>
      <c r="AV44" s="1325"/>
      <c r="AW44" s="1325"/>
      <c r="AX44" s="1325"/>
      <c r="AY44" s="1325"/>
      <c r="AZ44" s="1325"/>
      <c r="BA44" s="1325"/>
      <c r="BB44" s="1325"/>
      <c r="BC44" s="1325"/>
      <c r="BD44" s="1325"/>
      <c r="BE44" s="1325"/>
      <c r="BF44" s="1325"/>
      <c r="BG44" s="1325"/>
      <c r="BH44" s="1325"/>
      <c r="BI44" s="1325"/>
      <c r="BJ44" s="1325"/>
      <c r="BK44" s="1325"/>
      <c r="BL44" s="1325"/>
      <c r="BM44" s="1325"/>
      <c r="BN44" s="1325"/>
      <c r="BO44" s="1325"/>
      <c r="BP44" s="1325"/>
      <c r="BQ44" s="1325"/>
      <c r="BR44" s="1325"/>
      <c r="BS44" s="1325"/>
      <c r="BT44" s="1325"/>
      <c r="BU44" s="1325"/>
      <c r="BV44" s="1325"/>
      <c r="BW44" s="1325"/>
      <c r="BX44" s="1325"/>
      <c r="BY44" s="1325"/>
      <c r="BZ44" s="1325"/>
      <c r="CA44" s="1325"/>
      <c r="CB44" s="1325"/>
      <c r="CC44" s="1325"/>
      <c r="CD44" s="1325"/>
      <c r="CE44" s="1325"/>
      <c r="CF44" s="1325"/>
      <c r="CG44" s="1325"/>
      <c r="CH44" s="1325"/>
      <c r="CI44" s="1325"/>
      <c r="CJ44" s="1325"/>
      <c r="CK44" s="1325"/>
      <c r="CL44" s="1325"/>
      <c r="CM44" s="1325"/>
      <c r="CN44" s="1325"/>
      <c r="CO44" s="1325"/>
      <c r="CP44" s="1325"/>
      <c r="CQ44" s="1325"/>
      <c r="CR44" s="1325"/>
      <c r="CS44" s="1325"/>
      <c r="CT44" s="1325"/>
      <c r="CU44" s="1325"/>
      <c r="CV44" s="1325"/>
      <c r="CW44" s="1325"/>
      <c r="CX44" s="1325"/>
      <c r="CY44" s="1325"/>
      <c r="CZ44" s="1325"/>
      <c r="DA44" s="1325"/>
      <c r="DB44" s="1325"/>
      <c r="DC44" s="1325"/>
      <c r="DD44" s="1325"/>
      <c r="DE44" s="1325"/>
      <c r="DF44" s="1325"/>
      <c r="DG44" s="1325"/>
      <c r="DH44" s="1325"/>
      <c r="DI44" s="1325"/>
      <c r="DJ44" s="1325"/>
      <c r="DK44" s="1325"/>
      <c r="DL44" s="1325"/>
      <c r="DM44" s="1325"/>
      <c r="DN44" s="1325"/>
      <c r="DO44" s="1325"/>
      <c r="DP44" s="1325"/>
      <c r="DQ44" s="1325"/>
      <c r="DR44" s="1325"/>
      <c r="DS44" s="1325"/>
      <c r="DT44" s="1325"/>
      <c r="DU44" s="1325"/>
      <c r="DV44" s="1325"/>
      <c r="DW44" s="1325"/>
      <c r="DX44" s="1325"/>
      <c r="DY44" s="1325"/>
      <c r="DZ44" s="1325"/>
      <c r="EA44" s="1325"/>
      <c r="EB44" s="1325"/>
      <c r="EC44" s="1325"/>
      <c r="ED44" s="1325"/>
      <c r="EE44" s="1325"/>
      <c r="EF44" s="1325"/>
      <c r="EG44" s="1325"/>
      <c r="EH44" s="1325"/>
      <c r="EI44" s="1325"/>
      <c r="EJ44" s="1325"/>
      <c r="EK44" s="1325"/>
      <c r="EL44" s="1325"/>
      <c r="EM44" s="1325"/>
      <c r="EN44" s="1325"/>
      <c r="EO44" s="1325"/>
      <c r="EP44" s="1325"/>
      <c r="EQ44" s="1325"/>
      <c r="ER44" s="1325"/>
      <c r="ES44" s="1325"/>
      <c r="ET44" s="1325"/>
      <c r="EU44" s="1325"/>
      <c r="EV44" s="1325"/>
      <c r="EW44" s="1325"/>
      <c r="EX44" s="1325"/>
      <c r="EY44" s="1325"/>
      <c r="EZ44" s="1325"/>
      <c r="FA44" s="1325"/>
      <c r="FB44" s="1325"/>
      <c r="FC44" s="1325"/>
      <c r="FD44" s="1325"/>
      <c r="FE44" s="1325"/>
      <c r="FF44" s="1325"/>
      <c r="FG44" s="1325"/>
      <c r="FH44" s="1325"/>
      <c r="FI44" s="1325"/>
      <c r="FJ44" s="1325"/>
      <c r="FK44" s="1325"/>
      <c r="FL44" s="1325"/>
      <c r="FM44" s="1325"/>
      <c r="FN44" s="1325"/>
      <c r="FO44" s="1325"/>
      <c r="FP44" s="1325"/>
      <c r="FQ44" s="1325"/>
      <c r="FR44" s="1325"/>
      <c r="FS44" s="1325"/>
      <c r="FT44" s="1325"/>
      <c r="FU44" s="1325"/>
      <c r="FV44" s="1325"/>
      <c r="FW44" s="1325"/>
      <c r="FX44" s="1325"/>
      <c r="FY44" s="1325"/>
      <c r="FZ44" s="1325"/>
      <c r="GA44" s="1325"/>
      <c r="GB44" s="1325"/>
      <c r="GC44" s="1325"/>
      <c r="GD44" s="1325"/>
      <c r="GE44" s="1325"/>
      <c r="GF44" s="1325"/>
      <c r="GG44" s="1325"/>
      <c r="GH44" s="1325"/>
      <c r="GI44" s="1325"/>
      <c r="GJ44" s="1325"/>
      <c r="GK44" s="1325"/>
      <c r="GL44" s="1325"/>
      <c r="GM44" s="1325"/>
      <c r="GN44" s="1325"/>
      <c r="GO44" s="1325"/>
      <c r="GP44" s="1325"/>
      <c r="GQ44" s="1325"/>
      <c r="GR44" s="1325"/>
      <c r="GS44" s="1325"/>
      <c r="GT44" s="1325"/>
      <c r="GU44" s="1325"/>
      <c r="GV44" s="1325"/>
      <c r="GW44" s="1325"/>
      <c r="GX44" s="1325"/>
      <c r="GY44" s="1325"/>
      <c r="GZ44" s="1325"/>
      <c r="HA44" s="1325"/>
      <c r="HB44" s="1325"/>
      <c r="HC44" s="1325"/>
      <c r="HD44" s="1325"/>
      <c r="HE44" s="1325"/>
      <c r="HF44" s="1325"/>
      <c r="HG44" s="1325"/>
      <c r="HH44" s="1325"/>
      <c r="HI44" s="1325"/>
      <c r="HJ44" s="1325"/>
      <c r="HK44" s="1325"/>
      <c r="HL44" s="1325"/>
      <c r="HM44" s="1325"/>
      <c r="HN44" s="1325"/>
      <c r="HO44" s="1325"/>
      <c r="HP44" s="1325"/>
      <c r="HQ44" s="1325"/>
      <c r="HR44" s="1325"/>
      <c r="HS44" s="1325"/>
      <c r="HT44" s="1325"/>
      <c r="HU44" s="1325"/>
      <c r="HV44" s="1325"/>
      <c r="HW44" s="1325"/>
      <c r="HX44" s="1325"/>
      <c r="HY44" s="1325"/>
      <c r="HZ44" s="1325"/>
      <c r="IA44" s="1325"/>
      <c r="IB44" s="1325"/>
      <c r="IC44" s="1325"/>
      <c r="ID44" s="1325"/>
      <c r="IE44" s="1325"/>
      <c r="IF44" s="1325"/>
      <c r="IG44" s="1325"/>
      <c r="IH44" s="1325"/>
      <c r="II44" s="1325"/>
      <c r="IJ44" s="1325"/>
      <c r="IK44" s="1325"/>
      <c r="IL44" s="1325"/>
      <c r="IM44" s="1325"/>
      <c r="IN44" s="1325"/>
      <c r="IO44" s="1325"/>
      <c r="IP44" s="1325"/>
      <c r="IQ44" s="1325"/>
      <c r="IR44" s="1325"/>
      <c r="IS44" s="1325"/>
      <c r="IT44" s="1325"/>
      <c r="IU44" s="1325"/>
      <c r="IV44" s="1325"/>
    </row>
    <row r="45" spans="1:256" ht="15.75">
      <c r="A45" s="1326" t="s">
        <v>832</v>
      </c>
      <c r="B45" s="1327" t="s">
        <v>833</v>
      </c>
      <c r="C45" s="1328"/>
      <c r="D45" s="1328"/>
      <c r="E45" s="1325"/>
      <c r="F45" s="1325"/>
      <c r="G45" s="1325"/>
      <c r="H45" s="1325"/>
      <c r="I45" s="1325"/>
      <c r="J45" s="1325"/>
      <c r="K45" s="1325"/>
      <c r="L45" s="1325"/>
      <c r="M45" s="1325"/>
      <c r="N45" s="1325"/>
      <c r="O45" s="1325"/>
      <c r="P45" s="1325"/>
      <c r="Q45" s="1325"/>
      <c r="R45" s="1325"/>
      <c r="S45" s="1325"/>
      <c r="T45" s="1325"/>
      <c r="U45" s="1325"/>
      <c r="V45" s="1325"/>
      <c r="W45" s="1325"/>
      <c r="X45" s="1325"/>
      <c r="Y45" s="1325"/>
      <c r="Z45" s="1325"/>
      <c r="AA45" s="1325"/>
      <c r="AB45" s="1325"/>
      <c r="AC45" s="1325"/>
      <c r="AD45" s="1325"/>
      <c r="AE45" s="1325"/>
      <c r="AF45" s="1325"/>
      <c r="AG45" s="1325"/>
      <c r="AH45" s="1325"/>
      <c r="AI45" s="1325"/>
      <c r="AJ45" s="1325"/>
      <c r="AK45" s="1325"/>
      <c r="AL45" s="1325"/>
      <c r="AM45" s="1325"/>
      <c r="AN45" s="1325"/>
      <c r="AO45" s="1325"/>
      <c r="AP45" s="1325"/>
      <c r="AQ45" s="1325"/>
      <c r="AR45" s="1325"/>
      <c r="AS45" s="1325"/>
      <c r="AT45" s="1325"/>
      <c r="AU45" s="1325"/>
      <c r="AV45" s="1325"/>
      <c r="AW45" s="1325"/>
      <c r="AX45" s="1325"/>
      <c r="AY45" s="1325"/>
      <c r="AZ45" s="1325"/>
      <c r="BA45" s="1325"/>
      <c r="BB45" s="1325"/>
      <c r="BC45" s="1325"/>
      <c r="BD45" s="1325"/>
      <c r="BE45" s="1325"/>
      <c r="BF45" s="1325"/>
      <c r="BG45" s="1325"/>
      <c r="BH45" s="1325"/>
      <c r="BI45" s="1325"/>
      <c r="BJ45" s="1325"/>
      <c r="BK45" s="1325"/>
      <c r="BL45" s="1325"/>
      <c r="BM45" s="1325"/>
      <c r="BN45" s="1325"/>
      <c r="BO45" s="1325"/>
      <c r="BP45" s="1325"/>
      <c r="BQ45" s="1325"/>
      <c r="BR45" s="1325"/>
      <c r="BS45" s="1325"/>
      <c r="BT45" s="1325"/>
      <c r="BU45" s="1325"/>
      <c r="BV45" s="1325"/>
      <c r="BW45" s="1325"/>
      <c r="BX45" s="1325"/>
      <c r="BY45" s="1325"/>
      <c r="BZ45" s="1325"/>
      <c r="CA45" s="1325"/>
      <c r="CB45" s="1325"/>
      <c r="CC45" s="1325"/>
      <c r="CD45" s="1325"/>
      <c r="CE45" s="1325"/>
      <c r="CF45" s="1325"/>
      <c r="CG45" s="1325"/>
      <c r="CH45" s="1325"/>
      <c r="CI45" s="1325"/>
      <c r="CJ45" s="1325"/>
      <c r="CK45" s="1325"/>
      <c r="CL45" s="1325"/>
      <c r="CM45" s="1325"/>
      <c r="CN45" s="1325"/>
      <c r="CO45" s="1325"/>
      <c r="CP45" s="1325"/>
      <c r="CQ45" s="1325"/>
      <c r="CR45" s="1325"/>
      <c r="CS45" s="1325"/>
      <c r="CT45" s="1325"/>
      <c r="CU45" s="1325"/>
      <c r="CV45" s="1325"/>
      <c r="CW45" s="1325"/>
      <c r="CX45" s="1325"/>
      <c r="CY45" s="1325"/>
      <c r="CZ45" s="1325"/>
      <c r="DA45" s="1325"/>
      <c r="DB45" s="1325"/>
      <c r="DC45" s="1325"/>
      <c r="DD45" s="1325"/>
      <c r="DE45" s="1325"/>
      <c r="DF45" s="1325"/>
      <c r="DG45" s="1325"/>
      <c r="DH45" s="1325"/>
      <c r="DI45" s="1325"/>
      <c r="DJ45" s="1325"/>
      <c r="DK45" s="1325"/>
      <c r="DL45" s="1325"/>
      <c r="DM45" s="1325"/>
      <c r="DN45" s="1325"/>
      <c r="DO45" s="1325"/>
      <c r="DP45" s="1325"/>
      <c r="DQ45" s="1325"/>
      <c r="DR45" s="1325"/>
      <c r="DS45" s="1325"/>
      <c r="DT45" s="1325"/>
      <c r="DU45" s="1325"/>
      <c r="DV45" s="1325"/>
      <c r="DW45" s="1325"/>
      <c r="DX45" s="1325"/>
      <c r="DY45" s="1325"/>
      <c r="DZ45" s="1325"/>
      <c r="EA45" s="1325"/>
      <c r="EB45" s="1325"/>
      <c r="EC45" s="1325"/>
      <c r="ED45" s="1325"/>
      <c r="EE45" s="1325"/>
      <c r="EF45" s="1325"/>
      <c r="EG45" s="1325"/>
      <c r="EH45" s="1325"/>
      <c r="EI45" s="1325"/>
      <c r="EJ45" s="1325"/>
      <c r="EK45" s="1325"/>
      <c r="EL45" s="1325"/>
      <c r="EM45" s="1325"/>
      <c r="EN45" s="1325"/>
      <c r="EO45" s="1325"/>
      <c r="EP45" s="1325"/>
      <c r="EQ45" s="1325"/>
      <c r="ER45" s="1325"/>
      <c r="ES45" s="1325"/>
      <c r="ET45" s="1325"/>
      <c r="EU45" s="1325"/>
      <c r="EV45" s="1325"/>
      <c r="EW45" s="1325"/>
      <c r="EX45" s="1325"/>
      <c r="EY45" s="1325"/>
      <c r="EZ45" s="1325"/>
      <c r="FA45" s="1325"/>
      <c r="FB45" s="1325"/>
      <c r="FC45" s="1325"/>
      <c r="FD45" s="1325"/>
      <c r="FE45" s="1325"/>
      <c r="FF45" s="1325"/>
      <c r="FG45" s="1325"/>
      <c r="FH45" s="1325"/>
      <c r="FI45" s="1325"/>
      <c r="FJ45" s="1325"/>
      <c r="FK45" s="1325"/>
      <c r="FL45" s="1325"/>
      <c r="FM45" s="1325"/>
      <c r="FN45" s="1325"/>
      <c r="FO45" s="1325"/>
      <c r="FP45" s="1325"/>
      <c r="FQ45" s="1325"/>
      <c r="FR45" s="1325"/>
      <c r="FS45" s="1325"/>
      <c r="FT45" s="1325"/>
      <c r="FU45" s="1325"/>
      <c r="FV45" s="1325"/>
      <c r="FW45" s="1325"/>
      <c r="FX45" s="1325"/>
      <c r="FY45" s="1325"/>
      <c r="FZ45" s="1325"/>
      <c r="GA45" s="1325"/>
      <c r="GB45" s="1325"/>
      <c r="GC45" s="1325"/>
      <c r="GD45" s="1325"/>
      <c r="GE45" s="1325"/>
      <c r="GF45" s="1325"/>
      <c r="GG45" s="1325"/>
      <c r="GH45" s="1325"/>
      <c r="GI45" s="1325"/>
      <c r="GJ45" s="1325"/>
      <c r="GK45" s="1325"/>
      <c r="GL45" s="1325"/>
      <c r="GM45" s="1325"/>
      <c r="GN45" s="1325"/>
      <c r="GO45" s="1325"/>
      <c r="GP45" s="1325"/>
      <c r="GQ45" s="1325"/>
      <c r="GR45" s="1325"/>
      <c r="GS45" s="1325"/>
      <c r="GT45" s="1325"/>
      <c r="GU45" s="1325"/>
      <c r="GV45" s="1325"/>
      <c r="GW45" s="1325"/>
      <c r="GX45" s="1325"/>
      <c r="GY45" s="1325"/>
      <c r="GZ45" s="1325"/>
      <c r="HA45" s="1325"/>
      <c r="HB45" s="1325"/>
      <c r="HC45" s="1325"/>
      <c r="HD45" s="1325"/>
      <c r="HE45" s="1325"/>
      <c r="HF45" s="1325"/>
      <c r="HG45" s="1325"/>
      <c r="HH45" s="1325"/>
      <c r="HI45" s="1325"/>
      <c r="HJ45" s="1325"/>
      <c r="HK45" s="1325"/>
      <c r="HL45" s="1325"/>
      <c r="HM45" s="1325"/>
      <c r="HN45" s="1325"/>
      <c r="HO45" s="1325"/>
      <c r="HP45" s="1325"/>
      <c r="HQ45" s="1325"/>
      <c r="HR45" s="1325"/>
      <c r="HS45" s="1325"/>
      <c r="HT45" s="1325"/>
      <c r="HU45" s="1325"/>
      <c r="HV45" s="1325"/>
      <c r="HW45" s="1325"/>
      <c r="HX45" s="1325"/>
      <c r="HY45" s="1325"/>
      <c r="HZ45" s="1325"/>
      <c r="IA45" s="1325"/>
      <c r="IB45" s="1325"/>
      <c r="IC45" s="1325"/>
      <c r="ID45" s="1325"/>
      <c r="IE45" s="1325"/>
      <c r="IF45" s="1325"/>
      <c r="IG45" s="1325"/>
      <c r="IH45" s="1325"/>
      <c r="II45" s="1325"/>
      <c r="IJ45" s="1325"/>
      <c r="IK45" s="1325"/>
      <c r="IL45" s="1325"/>
      <c r="IM45" s="1325"/>
      <c r="IN45" s="1325"/>
      <c r="IO45" s="1325"/>
      <c r="IP45" s="1325"/>
      <c r="IQ45" s="1325"/>
      <c r="IR45" s="1325"/>
      <c r="IS45" s="1325"/>
      <c r="IT45" s="1325"/>
      <c r="IU45" s="1325"/>
      <c r="IV45" s="1325"/>
    </row>
    <row r="46" spans="1:256" ht="38.25">
      <c r="A46" s="1326" t="s">
        <v>834</v>
      </c>
      <c r="B46" s="1327" t="s">
        <v>835</v>
      </c>
      <c r="C46" s="1328"/>
      <c r="D46" s="1328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325"/>
      <c r="AG46" s="1325"/>
      <c r="AH46" s="1325"/>
      <c r="AI46" s="1325"/>
      <c r="AJ46" s="1325"/>
      <c r="AK46" s="1325"/>
      <c r="AL46" s="1325"/>
      <c r="AM46" s="1325"/>
      <c r="AN46" s="1325"/>
      <c r="AO46" s="1325"/>
      <c r="AP46" s="1325"/>
      <c r="AQ46" s="1325"/>
      <c r="AR46" s="1325"/>
      <c r="AS46" s="1325"/>
      <c r="AT46" s="1325"/>
      <c r="AU46" s="1325"/>
      <c r="AV46" s="1325"/>
      <c r="AW46" s="1325"/>
      <c r="AX46" s="1325"/>
      <c r="AY46" s="1325"/>
      <c r="AZ46" s="1325"/>
      <c r="BA46" s="1325"/>
      <c r="BB46" s="1325"/>
      <c r="BC46" s="1325"/>
      <c r="BD46" s="1325"/>
      <c r="BE46" s="1325"/>
      <c r="BF46" s="1325"/>
      <c r="BG46" s="1325"/>
      <c r="BH46" s="1325"/>
      <c r="BI46" s="1325"/>
      <c r="BJ46" s="1325"/>
      <c r="BK46" s="1325"/>
      <c r="BL46" s="1325"/>
      <c r="BM46" s="1325"/>
      <c r="BN46" s="1325"/>
      <c r="BO46" s="1325"/>
      <c r="BP46" s="1325"/>
      <c r="BQ46" s="1325"/>
      <c r="BR46" s="1325"/>
      <c r="BS46" s="1325"/>
      <c r="BT46" s="1325"/>
      <c r="BU46" s="1325"/>
      <c r="BV46" s="1325"/>
      <c r="BW46" s="1325"/>
      <c r="BX46" s="1325"/>
      <c r="BY46" s="1325"/>
      <c r="BZ46" s="1325"/>
      <c r="CA46" s="1325"/>
      <c r="CB46" s="1325"/>
      <c r="CC46" s="1325"/>
      <c r="CD46" s="1325"/>
      <c r="CE46" s="1325"/>
      <c r="CF46" s="1325"/>
      <c r="CG46" s="1325"/>
      <c r="CH46" s="1325"/>
      <c r="CI46" s="1325"/>
      <c r="CJ46" s="1325"/>
      <c r="CK46" s="1325"/>
      <c r="CL46" s="1325"/>
      <c r="CM46" s="1325"/>
      <c r="CN46" s="1325"/>
      <c r="CO46" s="1325"/>
      <c r="CP46" s="1325"/>
      <c r="CQ46" s="1325"/>
      <c r="CR46" s="1325"/>
      <c r="CS46" s="1325"/>
      <c r="CT46" s="1325"/>
      <c r="CU46" s="1325"/>
      <c r="CV46" s="1325"/>
      <c r="CW46" s="1325"/>
      <c r="CX46" s="1325"/>
      <c r="CY46" s="1325"/>
      <c r="CZ46" s="1325"/>
      <c r="DA46" s="1325"/>
      <c r="DB46" s="1325"/>
      <c r="DC46" s="1325"/>
      <c r="DD46" s="1325"/>
      <c r="DE46" s="1325"/>
      <c r="DF46" s="1325"/>
      <c r="DG46" s="1325"/>
      <c r="DH46" s="1325"/>
      <c r="DI46" s="1325"/>
      <c r="DJ46" s="1325"/>
      <c r="DK46" s="1325"/>
      <c r="DL46" s="1325"/>
      <c r="DM46" s="1325"/>
      <c r="DN46" s="1325"/>
      <c r="DO46" s="1325"/>
      <c r="DP46" s="1325"/>
      <c r="DQ46" s="1325"/>
      <c r="DR46" s="1325"/>
      <c r="DS46" s="1325"/>
      <c r="DT46" s="1325"/>
      <c r="DU46" s="1325"/>
      <c r="DV46" s="1325"/>
      <c r="DW46" s="1325"/>
      <c r="DX46" s="1325"/>
      <c r="DY46" s="1325"/>
      <c r="DZ46" s="1325"/>
      <c r="EA46" s="1325"/>
      <c r="EB46" s="1325"/>
      <c r="EC46" s="1325"/>
      <c r="ED46" s="1325"/>
      <c r="EE46" s="1325"/>
      <c r="EF46" s="1325"/>
      <c r="EG46" s="1325"/>
      <c r="EH46" s="1325"/>
      <c r="EI46" s="1325"/>
      <c r="EJ46" s="1325"/>
      <c r="EK46" s="1325"/>
      <c r="EL46" s="1325"/>
      <c r="EM46" s="1325"/>
      <c r="EN46" s="1325"/>
      <c r="EO46" s="1325"/>
      <c r="EP46" s="1325"/>
      <c r="EQ46" s="1325"/>
      <c r="ER46" s="1325"/>
      <c r="ES46" s="1325"/>
      <c r="ET46" s="1325"/>
      <c r="EU46" s="1325"/>
      <c r="EV46" s="1325"/>
      <c r="EW46" s="1325"/>
      <c r="EX46" s="1325"/>
      <c r="EY46" s="1325"/>
      <c r="EZ46" s="1325"/>
      <c r="FA46" s="1325"/>
      <c r="FB46" s="1325"/>
      <c r="FC46" s="1325"/>
      <c r="FD46" s="1325"/>
      <c r="FE46" s="1325"/>
      <c r="FF46" s="1325"/>
      <c r="FG46" s="1325"/>
      <c r="FH46" s="1325"/>
      <c r="FI46" s="1325"/>
      <c r="FJ46" s="1325"/>
      <c r="FK46" s="1325"/>
      <c r="FL46" s="1325"/>
      <c r="FM46" s="1325"/>
      <c r="FN46" s="1325"/>
      <c r="FO46" s="1325"/>
      <c r="FP46" s="1325"/>
      <c r="FQ46" s="1325"/>
      <c r="FR46" s="1325"/>
      <c r="FS46" s="1325"/>
      <c r="FT46" s="1325"/>
      <c r="FU46" s="1325"/>
      <c r="FV46" s="1325"/>
      <c r="FW46" s="1325"/>
      <c r="FX46" s="1325"/>
      <c r="FY46" s="1325"/>
      <c r="FZ46" s="1325"/>
      <c r="GA46" s="1325"/>
      <c r="GB46" s="1325"/>
      <c r="GC46" s="1325"/>
      <c r="GD46" s="1325"/>
      <c r="GE46" s="1325"/>
      <c r="GF46" s="1325"/>
      <c r="GG46" s="1325"/>
      <c r="GH46" s="1325"/>
      <c r="GI46" s="1325"/>
      <c r="GJ46" s="1325"/>
      <c r="GK46" s="1325"/>
      <c r="GL46" s="1325"/>
      <c r="GM46" s="1325"/>
      <c r="GN46" s="1325"/>
      <c r="GO46" s="1325"/>
      <c r="GP46" s="1325"/>
      <c r="GQ46" s="1325"/>
      <c r="GR46" s="1325"/>
      <c r="GS46" s="1325"/>
      <c r="GT46" s="1325"/>
      <c r="GU46" s="1325"/>
      <c r="GV46" s="1325"/>
      <c r="GW46" s="1325"/>
      <c r="GX46" s="1325"/>
      <c r="GY46" s="1325"/>
      <c r="GZ46" s="1325"/>
      <c r="HA46" s="1325"/>
      <c r="HB46" s="1325"/>
      <c r="HC46" s="1325"/>
      <c r="HD46" s="1325"/>
      <c r="HE46" s="1325"/>
      <c r="HF46" s="1325"/>
      <c r="HG46" s="1325"/>
      <c r="HH46" s="1325"/>
      <c r="HI46" s="1325"/>
      <c r="HJ46" s="1325"/>
      <c r="HK46" s="1325"/>
      <c r="HL46" s="1325"/>
      <c r="HM46" s="1325"/>
      <c r="HN46" s="1325"/>
      <c r="HO46" s="1325"/>
      <c r="HP46" s="1325"/>
      <c r="HQ46" s="1325"/>
      <c r="HR46" s="1325"/>
      <c r="HS46" s="1325"/>
      <c r="HT46" s="1325"/>
      <c r="HU46" s="1325"/>
      <c r="HV46" s="1325"/>
      <c r="HW46" s="1325"/>
      <c r="HX46" s="1325"/>
      <c r="HY46" s="1325"/>
      <c r="HZ46" s="1325"/>
      <c r="IA46" s="1325"/>
      <c r="IB46" s="1325"/>
      <c r="IC46" s="1325"/>
      <c r="ID46" s="1325"/>
      <c r="IE46" s="1325"/>
      <c r="IF46" s="1325"/>
      <c r="IG46" s="1325"/>
      <c r="IH46" s="1325"/>
      <c r="II46" s="1325"/>
      <c r="IJ46" s="1325"/>
      <c r="IK46" s="1325"/>
      <c r="IL46" s="1325"/>
      <c r="IM46" s="1325"/>
      <c r="IN46" s="1325"/>
      <c r="IO46" s="1325"/>
      <c r="IP46" s="1325"/>
      <c r="IQ46" s="1325"/>
      <c r="IR46" s="1325"/>
      <c r="IS46" s="1325"/>
      <c r="IT46" s="1325"/>
      <c r="IU46" s="1325"/>
      <c r="IV46" s="1325"/>
    </row>
    <row r="47" spans="1:256" ht="25.5">
      <c r="A47" s="1326" t="s">
        <v>836</v>
      </c>
      <c r="B47" s="1327" t="s">
        <v>837</v>
      </c>
      <c r="C47" s="1328"/>
      <c r="D47" s="1328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1325"/>
      <c r="AG47" s="1325"/>
      <c r="AH47" s="1325"/>
      <c r="AI47" s="1325"/>
      <c r="AJ47" s="1325"/>
      <c r="AK47" s="1325"/>
      <c r="AL47" s="1325"/>
      <c r="AM47" s="1325"/>
      <c r="AN47" s="1325"/>
      <c r="AO47" s="1325"/>
      <c r="AP47" s="1325"/>
      <c r="AQ47" s="1325"/>
      <c r="AR47" s="1325"/>
      <c r="AS47" s="1325"/>
      <c r="AT47" s="1325"/>
      <c r="AU47" s="1325"/>
      <c r="AV47" s="1325"/>
      <c r="AW47" s="1325"/>
      <c r="AX47" s="1325"/>
      <c r="AY47" s="1325"/>
      <c r="AZ47" s="1325"/>
      <c r="BA47" s="1325"/>
      <c r="BB47" s="1325"/>
      <c r="BC47" s="1325"/>
      <c r="BD47" s="1325"/>
      <c r="BE47" s="1325"/>
      <c r="BF47" s="1325"/>
      <c r="BG47" s="1325"/>
      <c r="BH47" s="1325"/>
      <c r="BI47" s="1325"/>
      <c r="BJ47" s="1325"/>
      <c r="BK47" s="1325"/>
      <c r="BL47" s="1325"/>
      <c r="BM47" s="1325"/>
      <c r="BN47" s="1325"/>
      <c r="BO47" s="1325"/>
      <c r="BP47" s="1325"/>
      <c r="BQ47" s="1325"/>
      <c r="BR47" s="1325"/>
      <c r="BS47" s="1325"/>
      <c r="BT47" s="1325"/>
      <c r="BU47" s="1325"/>
      <c r="BV47" s="1325"/>
      <c r="BW47" s="1325"/>
      <c r="BX47" s="1325"/>
      <c r="BY47" s="1325"/>
      <c r="BZ47" s="1325"/>
      <c r="CA47" s="1325"/>
      <c r="CB47" s="1325"/>
      <c r="CC47" s="1325"/>
      <c r="CD47" s="1325"/>
      <c r="CE47" s="1325"/>
      <c r="CF47" s="1325"/>
      <c r="CG47" s="1325"/>
      <c r="CH47" s="1325"/>
      <c r="CI47" s="1325"/>
      <c r="CJ47" s="1325"/>
      <c r="CK47" s="1325"/>
      <c r="CL47" s="1325"/>
      <c r="CM47" s="1325"/>
      <c r="CN47" s="1325"/>
      <c r="CO47" s="1325"/>
      <c r="CP47" s="1325"/>
      <c r="CQ47" s="1325"/>
      <c r="CR47" s="1325"/>
      <c r="CS47" s="1325"/>
      <c r="CT47" s="1325"/>
      <c r="CU47" s="1325"/>
      <c r="CV47" s="1325"/>
      <c r="CW47" s="1325"/>
      <c r="CX47" s="1325"/>
      <c r="CY47" s="1325"/>
      <c r="CZ47" s="1325"/>
      <c r="DA47" s="1325"/>
      <c r="DB47" s="1325"/>
      <c r="DC47" s="1325"/>
      <c r="DD47" s="1325"/>
      <c r="DE47" s="1325"/>
      <c r="DF47" s="1325"/>
      <c r="DG47" s="1325"/>
      <c r="DH47" s="1325"/>
      <c r="DI47" s="1325"/>
      <c r="DJ47" s="1325"/>
      <c r="DK47" s="1325"/>
      <c r="DL47" s="1325"/>
      <c r="DM47" s="1325"/>
      <c r="DN47" s="1325"/>
      <c r="DO47" s="1325"/>
      <c r="DP47" s="1325"/>
      <c r="DQ47" s="1325"/>
      <c r="DR47" s="1325"/>
      <c r="DS47" s="1325"/>
      <c r="DT47" s="1325"/>
      <c r="DU47" s="1325"/>
      <c r="DV47" s="1325"/>
      <c r="DW47" s="1325"/>
      <c r="DX47" s="1325"/>
      <c r="DY47" s="1325"/>
      <c r="DZ47" s="1325"/>
      <c r="EA47" s="1325"/>
      <c r="EB47" s="1325"/>
      <c r="EC47" s="1325"/>
      <c r="ED47" s="1325"/>
      <c r="EE47" s="1325"/>
      <c r="EF47" s="1325"/>
      <c r="EG47" s="1325"/>
      <c r="EH47" s="1325"/>
      <c r="EI47" s="1325"/>
      <c r="EJ47" s="1325"/>
      <c r="EK47" s="1325"/>
      <c r="EL47" s="1325"/>
      <c r="EM47" s="1325"/>
      <c r="EN47" s="1325"/>
      <c r="EO47" s="1325"/>
      <c r="EP47" s="1325"/>
      <c r="EQ47" s="1325"/>
      <c r="ER47" s="1325"/>
      <c r="ES47" s="1325"/>
      <c r="ET47" s="1325"/>
      <c r="EU47" s="1325"/>
      <c r="EV47" s="1325"/>
      <c r="EW47" s="1325"/>
      <c r="EX47" s="1325"/>
      <c r="EY47" s="1325"/>
      <c r="EZ47" s="1325"/>
      <c r="FA47" s="1325"/>
      <c r="FB47" s="1325"/>
      <c r="FC47" s="1325"/>
      <c r="FD47" s="1325"/>
      <c r="FE47" s="1325"/>
      <c r="FF47" s="1325"/>
      <c r="FG47" s="1325"/>
      <c r="FH47" s="1325"/>
      <c r="FI47" s="1325"/>
      <c r="FJ47" s="1325"/>
      <c r="FK47" s="1325"/>
      <c r="FL47" s="1325"/>
      <c r="FM47" s="1325"/>
      <c r="FN47" s="1325"/>
      <c r="FO47" s="1325"/>
      <c r="FP47" s="1325"/>
      <c r="FQ47" s="1325"/>
      <c r="FR47" s="1325"/>
      <c r="FS47" s="1325"/>
      <c r="FT47" s="1325"/>
      <c r="FU47" s="1325"/>
      <c r="FV47" s="1325"/>
      <c r="FW47" s="1325"/>
      <c r="FX47" s="1325"/>
      <c r="FY47" s="1325"/>
      <c r="FZ47" s="1325"/>
      <c r="GA47" s="1325"/>
      <c r="GB47" s="1325"/>
      <c r="GC47" s="1325"/>
      <c r="GD47" s="1325"/>
      <c r="GE47" s="1325"/>
      <c r="GF47" s="1325"/>
      <c r="GG47" s="1325"/>
      <c r="GH47" s="1325"/>
      <c r="GI47" s="1325"/>
      <c r="GJ47" s="1325"/>
      <c r="GK47" s="1325"/>
      <c r="GL47" s="1325"/>
      <c r="GM47" s="1325"/>
      <c r="GN47" s="1325"/>
      <c r="GO47" s="1325"/>
      <c r="GP47" s="1325"/>
      <c r="GQ47" s="1325"/>
      <c r="GR47" s="1325"/>
      <c r="GS47" s="1325"/>
      <c r="GT47" s="1325"/>
      <c r="GU47" s="1325"/>
      <c r="GV47" s="1325"/>
      <c r="GW47" s="1325"/>
      <c r="GX47" s="1325"/>
      <c r="GY47" s="1325"/>
      <c r="GZ47" s="1325"/>
      <c r="HA47" s="1325"/>
      <c r="HB47" s="1325"/>
      <c r="HC47" s="1325"/>
      <c r="HD47" s="1325"/>
      <c r="HE47" s="1325"/>
      <c r="HF47" s="1325"/>
      <c r="HG47" s="1325"/>
      <c r="HH47" s="1325"/>
      <c r="HI47" s="1325"/>
      <c r="HJ47" s="1325"/>
      <c r="HK47" s="1325"/>
      <c r="HL47" s="1325"/>
      <c r="HM47" s="1325"/>
      <c r="HN47" s="1325"/>
      <c r="HO47" s="1325"/>
      <c r="HP47" s="1325"/>
      <c r="HQ47" s="1325"/>
      <c r="HR47" s="1325"/>
      <c r="HS47" s="1325"/>
      <c r="HT47" s="1325"/>
      <c r="HU47" s="1325"/>
      <c r="HV47" s="1325"/>
      <c r="HW47" s="1325"/>
      <c r="HX47" s="1325"/>
      <c r="HY47" s="1325"/>
      <c r="HZ47" s="1325"/>
      <c r="IA47" s="1325"/>
      <c r="IB47" s="1325"/>
      <c r="IC47" s="1325"/>
      <c r="ID47" s="1325"/>
      <c r="IE47" s="1325"/>
      <c r="IF47" s="1325"/>
      <c r="IG47" s="1325"/>
      <c r="IH47" s="1325"/>
      <c r="II47" s="1325"/>
      <c r="IJ47" s="1325"/>
      <c r="IK47" s="1325"/>
      <c r="IL47" s="1325"/>
      <c r="IM47" s="1325"/>
      <c r="IN47" s="1325"/>
      <c r="IO47" s="1325"/>
      <c r="IP47" s="1325"/>
      <c r="IQ47" s="1325"/>
      <c r="IR47" s="1325"/>
      <c r="IS47" s="1325"/>
      <c r="IT47" s="1325"/>
      <c r="IU47" s="1325"/>
      <c r="IV47" s="1325"/>
    </row>
    <row r="48" spans="1:256" ht="15.75">
      <c r="A48" s="1326" t="s">
        <v>838</v>
      </c>
      <c r="B48" s="1327" t="s">
        <v>839</v>
      </c>
      <c r="C48" s="1328"/>
      <c r="D48" s="1328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1325"/>
      <c r="AG48" s="1325"/>
      <c r="AH48" s="1325"/>
      <c r="AI48" s="1325"/>
      <c r="AJ48" s="1325"/>
      <c r="AK48" s="1325"/>
      <c r="AL48" s="1325"/>
      <c r="AM48" s="1325"/>
      <c r="AN48" s="1325"/>
      <c r="AO48" s="1325"/>
      <c r="AP48" s="1325"/>
      <c r="AQ48" s="1325"/>
      <c r="AR48" s="1325"/>
      <c r="AS48" s="1325"/>
      <c r="AT48" s="1325"/>
      <c r="AU48" s="1325"/>
      <c r="AV48" s="1325"/>
      <c r="AW48" s="1325"/>
      <c r="AX48" s="1325"/>
      <c r="AY48" s="1325"/>
      <c r="AZ48" s="1325"/>
      <c r="BA48" s="1325"/>
      <c r="BB48" s="1325"/>
      <c r="BC48" s="1325"/>
      <c r="BD48" s="1325"/>
      <c r="BE48" s="1325"/>
      <c r="BF48" s="1325"/>
      <c r="BG48" s="1325"/>
      <c r="BH48" s="1325"/>
      <c r="BI48" s="1325"/>
      <c r="BJ48" s="1325"/>
      <c r="BK48" s="1325"/>
      <c r="BL48" s="1325"/>
      <c r="BM48" s="1325"/>
      <c r="BN48" s="1325"/>
      <c r="BO48" s="1325"/>
      <c r="BP48" s="1325"/>
      <c r="BQ48" s="1325"/>
      <c r="BR48" s="1325"/>
      <c r="BS48" s="1325"/>
      <c r="BT48" s="1325"/>
      <c r="BU48" s="1325"/>
      <c r="BV48" s="1325"/>
      <c r="BW48" s="1325"/>
      <c r="BX48" s="1325"/>
      <c r="BY48" s="1325"/>
      <c r="BZ48" s="1325"/>
      <c r="CA48" s="1325"/>
      <c r="CB48" s="1325"/>
      <c r="CC48" s="1325"/>
      <c r="CD48" s="1325"/>
      <c r="CE48" s="1325"/>
      <c r="CF48" s="1325"/>
      <c r="CG48" s="1325"/>
      <c r="CH48" s="1325"/>
      <c r="CI48" s="1325"/>
      <c r="CJ48" s="1325"/>
      <c r="CK48" s="1325"/>
      <c r="CL48" s="1325"/>
      <c r="CM48" s="1325"/>
      <c r="CN48" s="1325"/>
      <c r="CO48" s="1325"/>
      <c r="CP48" s="1325"/>
      <c r="CQ48" s="1325"/>
      <c r="CR48" s="1325"/>
      <c r="CS48" s="1325"/>
      <c r="CT48" s="1325"/>
      <c r="CU48" s="1325"/>
      <c r="CV48" s="1325"/>
      <c r="CW48" s="1325"/>
      <c r="CX48" s="1325"/>
      <c r="CY48" s="1325"/>
      <c r="CZ48" s="1325"/>
      <c r="DA48" s="1325"/>
      <c r="DB48" s="1325"/>
      <c r="DC48" s="1325"/>
      <c r="DD48" s="1325"/>
      <c r="DE48" s="1325"/>
      <c r="DF48" s="1325"/>
      <c r="DG48" s="1325"/>
      <c r="DH48" s="1325"/>
      <c r="DI48" s="1325"/>
      <c r="DJ48" s="1325"/>
      <c r="DK48" s="1325"/>
      <c r="DL48" s="1325"/>
      <c r="DM48" s="1325"/>
      <c r="DN48" s="1325"/>
      <c r="DO48" s="1325"/>
      <c r="DP48" s="1325"/>
      <c r="DQ48" s="1325"/>
      <c r="DR48" s="1325"/>
      <c r="DS48" s="1325"/>
      <c r="DT48" s="1325"/>
      <c r="DU48" s="1325"/>
      <c r="DV48" s="1325"/>
      <c r="DW48" s="1325"/>
      <c r="DX48" s="1325"/>
      <c r="DY48" s="1325"/>
      <c r="DZ48" s="1325"/>
      <c r="EA48" s="1325"/>
      <c r="EB48" s="1325"/>
      <c r="EC48" s="1325"/>
      <c r="ED48" s="1325"/>
      <c r="EE48" s="1325"/>
      <c r="EF48" s="1325"/>
      <c r="EG48" s="1325"/>
      <c r="EH48" s="1325"/>
      <c r="EI48" s="1325"/>
      <c r="EJ48" s="1325"/>
      <c r="EK48" s="1325"/>
      <c r="EL48" s="1325"/>
      <c r="EM48" s="1325"/>
      <c r="EN48" s="1325"/>
      <c r="EO48" s="1325"/>
      <c r="EP48" s="1325"/>
      <c r="EQ48" s="1325"/>
      <c r="ER48" s="1325"/>
      <c r="ES48" s="1325"/>
      <c r="ET48" s="1325"/>
      <c r="EU48" s="1325"/>
      <c r="EV48" s="1325"/>
      <c r="EW48" s="1325"/>
      <c r="EX48" s="1325"/>
      <c r="EY48" s="1325"/>
      <c r="EZ48" s="1325"/>
      <c r="FA48" s="1325"/>
      <c r="FB48" s="1325"/>
      <c r="FC48" s="1325"/>
      <c r="FD48" s="1325"/>
      <c r="FE48" s="1325"/>
      <c r="FF48" s="1325"/>
      <c r="FG48" s="1325"/>
      <c r="FH48" s="1325"/>
      <c r="FI48" s="1325"/>
      <c r="FJ48" s="1325"/>
      <c r="FK48" s="1325"/>
      <c r="FL48" s="1325"/>
      <c r="FM48" s="1325"/>
      <c r="FN48" s="1325"/>
      <c r="FO48" s="1325"/>
      <c r="FP48" s="1325"/>
      <c r="FQ48" s="1325"/>
      <c r="FR48" s="1325"/>
      <c r="FS48" s="1325"/>
      <c r="FT48" s="1325"/>
      <c r="FU48" s="1325"/>
      <c r="FV48" s="1325"/>
      <c r="FW48" s="1325"/>
      <c r="FX48" s="1325"/>
      <c r="FY48" s="1325"/>
      <c r="FZ48" s="1325"/>
      <c r="GA48" s="1325"/>
      <c r="GB48" s="1325"/>
      <c r="GC48" s="1325"/>
      <c r="GD48" s="1325"/>
      <c r="GE48" s="1325"/>
      <c r="GF48" s="1325"/>
      <c r="GG48" s="1325"/>
      <c r="GH48" s="1325"/>
      <c r="GI48" s="1325"/>
      <c r="GJ48" s="1325"/>
      <c r="GK48" s="1325"/>
      <c r="GL48" s="1325"/>
      <c r="GM48" s="1325"/>
      <c r="GN48" s="1325"/>
      <c r="GO48" s="1325"/>
      <c r="GP48" s="1325"/>
      <c r="GQ48" s="1325"/>
      <c r="GR48" s="1325"/>
      <c r="GS48" s="1325"/>
      <c r="GT48" s="1325"/>
      <c r="GU48" s="1325"/>
      <c r="GV48" s="1325"/>
      <c r="GW48" s="1325"/>
      <c r="GX48" s="1325"/>
      <c r="GY48" s="1325"/>
      <c r="GZ48" s="1325"/>
      <c r="HA48" s="1325"/>
      <c r="HB48" s="1325"/>
      <c r="HC48" s="1325"/>
      <c r="HD48" s="1325"/>
      <c r="HE48" s="1325"/>
      <c r="HF48" s="1325"/>
      <c r="HG48" s="1325"/>
      <c r="HH48" s="1325"/>
      <c r="HI48" s="1325"/>
      <c r="HJ48" s="1325"/>
      <c r="HK48" s="1325"/>
      <c r="HL48" s="1325"/>
      <c r="HM48" s="1325"/>
      <c r="HN48" s="1325"/>
      <c r="HO48" s="1325"/>
      <c r="HP48" s="1325"/>
      <c r="HQ48" s="1325"/>
      <c r="HR48" s="1325"/>
      <c r="HS48" s="1325"/>
      <c r="HT48" s="1325"/>
      <c r="HU48" s="1325"/>
      <c r="HV48" s="1325"/>
      <c r="HW48" s="1325"/>
      <c r="HX48" s="1325"/>
      <c r="HY48" s="1325"/>
      <c r="HZ48" s="1325"/>
      <c r="IA48" s="1325"/>
      <c r="IB48" s="1325"/>
      <c r="IC48" s="1325"/>
      <c r="ID48" s="1325"/>
      <c r="IE48" s="1325"/>
      <c r="IF48" s="1325"/>
      <c r="IG48" s="1325"/>
      <c r="IH48" s="1325"/>
      <c r="II48" s="1325"/>
      <c r="IJ48" s="1325"/>
      <c r="IK48" s="1325"/>
      <c r="IL48" s="1325"/>
      <c r="IM48" s="1325"/>
      <c r="IN48" s="1325"/>
      <c r="IO48" s="1325"/>
      <c r="IP48" s="1325"/>
      <c r="IQ48" s="1325"/>
      <c r="IR48" s="1325"/>
      <c r="IS48" s="1325"/>
      <c r="IT48" s="1325"/>
      <c r="IU48" s="1325"/>
      <c r="IV48" s="1325"/>
    </row>
    <row r="49" spans="1:256" ht="15.75">
      <c r="A49" s="1329" t="s">
        <v>840</v>
      </c>
      <c r="B49" s="1330" t="s">
        <v>841</v>
      </c>
      <c r="C49" s="1332"/>
      <c r="D49" s="1332"/>
      <c r="E49" s="1325"/>
      <c r="F49" s="1325"/>
      <c r="G49" s="1325"/>
      <c r="H49" s="1325"/>
      <c r="I49" s="1325"/>
      <c r="J49" s="1325"/>
      <c r="K49" s="1325"/>
      <c r="L49" s="1325"/>
      <c r="M49" s="1325"/>
      <c r="N49" s="1325"/>
      <c r="O49" s="1325"/>
      <c r="P49" s="1325"/>
      <c r="Q49" s="1325"/>
      <c r="R49" s="1325"/>
      <c r="S49" s="1325"/>
      <c r="T49" s="1325"/>
      <c r="U49" s="1325"/>
      <c r="V49" s="1325"/>
      <c r="W49" s="1325"/>
      <c r="X49" s="1325"/>
      <c r="Y49" s="1325"/>
      <c r="Z49" s="1325"/>
      <c r="AA49" s="1325"/>
      <c r="AB49" s="1325"/>
      <c r="AC49" s="1325"/>
      <c r="AD49" s="1325"/>
      <c r="AE49" s="1325"/>
      <c r="AF49" s="1325"/>
      <c r="AG49" s="1325"/>
      <c r="AH49" s="1325"/>
      <c r="AI49" s="1325"/>
      <c r="AJ49" s="1325"/>
      <c r="AK49" s="1325"/>
      <c r="AL49" s="1325"/>
      <c r="AM49" s="1325"/>
      <c r="AN49" s="1325"/>
      <c r="AO49" s="1325"/>
      <c r="AP49" s="1325"/>
      <c r="AQ49" s="1325"/>
      <c r="AR49" s="1325"/>
      <c r="AS49" s="1325"/>
      <c r="AT49" s="1325"/>
      <c r="AU49" s="1325"/>
      <c r="AV49" s="1325"/>
      <c r="AW49" s="1325"/>
      <c r="AX49" s="1325"/>
      <c r="AY49" s="1325"/>
      <c r="AZ49" s="1325"/>
      <c r="BA49" s="1325"/>
      <c r="BB49" s="1325"/>
      <c r="BC49" s="1325"/>
      <c r="BD49" s="1325"/>
      <c r="BE49" s="1325"/>
      <c r="BF49" s="1325"/>
      <c r="BG49" s="1325"/>
      <c r="BH49" s="1325"/>
      <c r="BI49" s="1325"/>
      <c r="BJ49" s="1325"/>
      <c r="BK49" s="1325"/>
      <c r="BL49" s="1325"/>
      <c r="BM49" s="1325"/>
      <c r="BN49" s="1325"/>
      <c r="BO49" s="1325"/>
      <c r="BP49" s="1325"/>
      <c r="BQ49" s="1325"/>
      <c r="BR49" s="1325"/>
      <c r="BS49" s="1325"/>
      <c r="BT49" s="1325"/>
      <c r="BU49" s="1325"/>
      <c r="BV49" s="1325"/>
      <c r="BW49" s="1325"/>
      <c r="BX49" s="1325"/>
      <c r="BY49" s="1325"/>
      <c r="BZ49" s="1325"/>
      <c r="CA49" s="1325"/>
      <c r="CB49" s="1325"/>
      <c r="CC49" s="1325"/>
      <c r="CD49" s="1325"/>
      <c r="CE49" s="1325"/>
      <c r="CF49" s="1325"/>
      <c r="CG49" s="1325"/>
      <c r="CH49" s="1325"/>
      <c r="CI49" s="1325"/>
      <c r="CJ49" s="1325"/>
      <c r="CK49" s="1325"/>
      <c r="CL49" s="1325"/>
      <c r="CM49" s="1325"/>
      <c r="CN49" s="1325"/>
      <c r="CO49" s="1325"/>
      <c r="CP49" s="1325"/>
      <c r="CQ49" s="1325"/>
      <c r="CR49" s="1325"/>
      <c r="CS49" s="1325"/>
      <c r="CT49" s="1325"/>
      <c r="CU49" s="1325"/>
      <c r="CV49" s="1325"/>
      <c r="CW49" s="1325"/>
      <c r="CX49" s="1325"/>
      <c r="CY49" s="1325"/>
      <c r="CZ49" s="1325"/>
      <c r="DA49" s="1325"/>
      <c r="DB49" s="1325"/>
      <c r="DC49" s="1325"/>
      <c r="DD49" s="1325"/>
      <c r="DE49" s="1325"/>
      <c r="DF49" s="1325"/>
      <c r="DG49" s="1325"/>
      <c r="DH49" s="1325"/>
      <c r="DI49" s="1325"/>
      <c r="DJ49" s="1325"/>
      <c r="DK49" s="1325"/>
      <c r="DL49" s="1325"/>
      <c r="DM49" s="1325"/>
      <c r="DN49" s="1325"/>
      <c r="DO49" s="1325"/>
      <c r="DP49" s="1325"/>
      <c r="DQ49" s="1325"/>
      <c r="DR49" s="1325"/>
      <c r="DS49" s="1325"/>
      <c r="DT49" s="1325"/>
      <c r="DU49" s="1325"/>
      <c r="DV49" s="1325"/>
      <c r="DW49" s="1325"/>
      <c r="DX49" s="1325"/>
      <c r="DY49" s="1325"/>
      <c r="DZ49" s="1325"/>
      <c r="EA49" s="1325"/>
      <c r="EB49" s="1325"/>
      <c r="EC49" s="1325"/>
      <c r="ED49" s="1325"/>
      <c r="EE49" s="1325"/>
      <c r="EF49" s="1325"/>
      <c r="EG49" s="1325"/>
      <c r="EH49" s="1325"/>
      <c r="EI49" s="1325"/>
      <c r="EJ49" s="1325"/>
      <c r="EK49" s="1325"/>
      <c r="EL49" s="1325"/>
      <c r="EM49" s="1325"/>
      <c r="EN49" s="1325"/>
      <c r="EO49" s="1325"/>
      <c r="EP49" s="1325"/>
      <c r="EQ49" s="1325"/>
      <c r="ER49" s="1325"/>
      <c r="ES49" s="1325"/>
      <c r="ET49" s="1325"/>
      <c r="EU49" s="1325"/>
      <c r="EV49" s="1325"/>
      <c r="EW49" s="1325"/>
      <c r="EX49" s="1325"/>
      <c r="EY49" s="1325"/>
      <c r="EZ49" s="1325"/>
      <c r="FA49" s="1325"/>
      <c r="FB49" s="1325"/>
      <c r="FC49" s="1325"/>
      <c r="FD49" s="1325"/>
      <c r="FE49" s="1325"/>
      <c r="FF49" s="1325"/>
      <c r="FG49" s="1325"/>
      <c r="FH49" s="1325"/>
      <c r="FI49" s="1325"/>
      <c r="FJ49" s="1325"/>
      <c r="FK49" s="1325"/>
      <c r="FL49" s="1325"/>
      <c r="FM49" s="1325"/>
      <c r="FN49" s="1325"/>
      <c r="FO49" s="1325"/>
      <c r="FP49" s="1325"/>
      <c r="FQ49" s="1325"/>
      <c r="FR49" s="1325"/>
      <c r="FS49" s="1325"/>
      <c r="FT49" s="1325"/>
      <c r="FU49" s="1325"/>
      <c r="FV49" s="1325"/>
      <c r="FW49" s="1325"/>
      <c r="FX49" s="1325"/>
      <c r="FY49" s="1325"/>
      <c r="FZ49" s="1325"/>
      <c r="GA49" s="1325"/>
      <c r="GB49" s="1325"/>
      <c r="GC49" s="1325"/>
      <c r="GD49" s="1325"/>
      <c r="GE49" s="1325"/>
      <c r="GF49" s="1325"/>
      <c r="GG49" s="1325"/>
      <c r="GH49" s="1325"/>
      <c r="GI49" s="1325"/>
      <c r="GJ49" s="1325"/>
      <c r="GK49" s="1325"/>
      <c r="GL49" s="1325"/>
      <c r="GM49" s="1325"/>
      <c r="GN49" s="1325"/>
      <c r="GO49" s="1325"/>
      <c r="GP49" s="1325"/>
      <c r="GQ49" s="1325"/>
      <c r="GR49" s="1325"/>
      <c r="GS49" s="1325"/>
      <c r="GT49" s="1325"/>
      <c r="GU49" s="1325"/>
      <c r="GV49" s="1325"/>
      <c r="GW49" s="1325"/>
      <c r="GX49" s="1325"/>
      <c r="GY49" s="1325"/>
      <c r="GZ49" s="1325"/>
      <c r="HA49" s="1325"/>
      <c r="HB49" s="1325"/>
      <c r="HC49" s="1325"/>
      <c r="HD49" s="1325"/>
      <c r="HE49" s="1325"/>
      <c r="HF49" s="1325"/>
      <c r="HG49" s="1325"/>
      <c r="HH49" s="1325"/>
      <c r="HI49" s="1325"/>
      <c r="HJ49" s="1325"/>
      <c r="HK49" s="1325"/>
      <c r="HL49" s="1325"/>
      <c r="HM49" s="1325"/>
      <c r="HN49" s="1325"/>
      <c r="HO49" s="1325"/>
      <c r="HP49" s="1325"/>
      <c r="HQ49" s="1325"/>
      <c r="HR49" s="1325"/>
      <c r="HS49" s="1325"/>
      <c r="HT49" s="1325"/>
      <c r="HU49" s="1325"/>
      <c r="HV49" s="1325"/>
      <c r="HW49" s="1325"/>
      <c r="HX49" s="1325"/>
      <c r="HY49" s="1325"/>
      <c r="HZ49" s="1325"/>
      <c r="IA49" s="1325"/>
      <c r="IB49" s="1325"/>
      <c r="IC49" s="1325"/>
      <c r="ID49" s="1325"/>
      <c r="IE49" s="1325"/>
      <c r="IF49" s="1325"/>
      <c r="IG49" s="1325"/>
      <c r="IH49" s="1325"/>
      <c r="II49" s="1325"/>
      <c r="IJ49" s="1325"/>
      <c r="IK49" s="1325"/>
      <c r="IL49" s="1325"/>
      <c r="IM49" s="1325"/>
      <c r="IN49" s="1325"/>
      <c r="IO49" s="1325"/>
      <c r="IP49" s="1325"/>
      <c r="IQ49" s="1325"/>
      <c r="IR49" s="1325"/>
      <c r="IS49" s="1325"/>
      <c r="IT49" s="1325"/>
      <c r="IU49" s="1325"/>
      <c r="IV49" s="1325"/>
    </row>
    <row r="50" spans="1:256" ht="15.75">
      <c r="A50" s="1326" t="s">
        <v>842</v>
      </c>
      <c r="B50" s="1327" t="s">
        <v>843</v>
      </c>
      <c r="C50" s="1328"/>
      <c r="D50" s="1328"/>
      <c r="E50" s="1325"/>
      <c r="F50" s="1325"/>
      <c r="G50" s="1325"/>
      <c r="H50" s="1325"/>
      <c r="I50" s="1325"/>
      <c r="J50" s="1325"/>
      <c r="K50" s="1325"/>
      <c r="L50" s="1325"/>
      <c r="M50" s="1325"/>
      <c r="N50" s="1325"/>
      <c r="O50" s="1325"/>
      <c r="P50" s="1325"/>
      <c r="Q50" s="1325"/>
      <c r="R50" s="1325"/>
      <c r="S50" s="1325"/>
      <c r="T50" s="1325"/>
      <c r="U50" s="1325"/>
      <c r="V50" s="1325"/>
      <c r="W50" s="1325"/>
      <c r="X50" s="1325"/>
      <c r="Y50" s="1325"/>
      <c r="Z50" s="1325"/>
      <c r="AA50" s="1325"/>
      <c r="AB50" s="1325"/>
      <c r="AC50" s="1325"/>
      <c r="AD50" s="1325"/>
      <c r="AE50" s="1325"/>
      <c r="AF50" s="1325"/>
      <c r="AG50" s="1325"/>
      <c r="AH50" s="1325"/>
      <c r="AI50" s="1325"/>
      <c r="AJ50" s="1325"/>
      <c r="AK50" s="1325"/>
      <c r="AL50" s="1325"/>
      <c r="AM50" s="1325"/>
      <c r="AN50" s="1325"/>
      <c r="AO50" s="1325"/>
      <c r="AP50" s="1325"/>
      <c r="AQ50" s="1325"/>
      <c r="AR50" s="1325"/>
      <c r="AS50" s="1325"/>
      <c r="AT50" s="1325"/>
      <c r="AU50" s="1325"/>
      <c r="AV50" s="1325"/>
      <c r="AW50" s="1325"/>
      <c r="AX50" s="1325"/>
      <c r="AY50" s="1325"/>
      <c r="AZ50" s="1325"/>
      <c r="BA50" s="1325"/>
      <c r="BB50" s="1325"/>
      <c r="BC50" s="1325"/>
      <c r="BD50" s="1325"/>
      <c r="BE50" s="1325"/>
      <c r="BF50" s="1325"/>
      <c r="BG50" s="1325"/>
      <c r="BH50" s="1325"/>
      <c r="BI50" s="1325"/>
      <c r="BJ50" s="1325"/>
      <c r="BK50" s="1325"/>
      <c r="BL50" s="1325"/>
      <c r="BM50" s="1325"/>
      <c r="BN50" s="1325"/>
      <c r="BO50" s="1325"/>
      <c r="BP50" s="1325"/>
      <c r="BQ50" s="1325"/>
      <c r="BR50" s="1325"/>
      <c r="BS50" s="1325"/>
      <c r="BT50" s="1325"/>
      <c r="BU50" s="1325"/>
      <c r="BV50" s="1325"/>
      <c r="BW50" s="1325"/>
      <c r="BX50" s="1325"/>
      <c r="BY50" s="1325"/>
      <c r="BZ50" s="1325"/>
      <c r="CA50" s="1325"/>
      <c r="CB50" s="1325"/>
      <c r="CC50" s="1325"/>
      <c r="CD50" s="1325"/>
      <c r="CE50" s="1325"/>
      <c r="CF50" s="1325"/>
      <c r="CG50" s="1325"/>
      <c r="CH50" s="1325"/>
      <c r="CI50" s="1325"/>
      <c r="CJ50" s="1325"/>
      <c r="CK50" s="1325"/>
      <c r="CL50" s="1325"/>
      <c r="CM50" s="1325"/>
      <c r="CN50" s="1325"/>
      <c r="CO50" s="1325"/>
      <c r="CP50" s="1325"/>
      <c r="CQ50" s="1325"/>
      <c r="CR50" s="1325"/>
      <c r="CS50" s="1325"/>
      <c r="CT50" s="1325"/>
      <c r="CU50" s="1325"/>
      <c r="CV50" s="1325"/>
      <c r="CW50" s="1325"/>
      <c r="CX50" s="1325"/>
      <c r="CY50" s="1325"/>
      <c r="CZ50" s="1325"/>
      <c r="DA50" s="1325"/>
      <c r="DB50" s="1325"/>
      <c r="DC50" s="1325"/>
      <c r="DD50" s="1325"/>
      <c r="DE50" s="1325"/>
      <c r="DF50" s="1325"/>
      <c r="DG50" s="1325"/>
      <c r="DH50" s="1325"/>
      <c r="DI50" s="1325"/>
      <c r="DJ50" s="1325"/>
      <c r="DK50" s="1325"/>
      <c r="DL50" s="1325"/>
      <c r="DM50" s="1325"/>
      <c r="DN50" s="1325"/>
      <c r="DO50" s="1325"/>
      <c r="DP50" s="1325"/>
      <c r="DQ50" s="1325"/>
      <c r="DR50" s="1325"/>
      <c r="DS50" s="1325"/>
      <c r="DT50" s="1325"/>
      <c r="DU50" s="1325"/>
      <c r="DV50" s="1325"/>
      <c r="DW50" s="1325"/>
      <c r="DX50" s="1325"/>
      <c r="DY50" s="1325"/>
      <c r="DZ50" s="1325"/>
      <c r="EA50" s="1325"/>
      <c r="EB50" s="1325"/>
      <c r="EC50" s="1325"/>
      <c r="ED50" s="1325"/>
      <c r="EE50" s="1325"/>
      <c r="EF50" s="1325"/>
      <c r="EG50" s="1325"/>
      <c r="EH50" s="1325"/>
      <c r="EI50" s="1325"/>
      <c r="EJ50" s="1325"/>
      <c r="EK50" s="1325"/>
      <c r="EL50" s="1325"/>
      <c r="EM50" s="1325"/>
      <c r="EN50" s="1325"/>
      <c r="EO50" s="1325"/>
      <c r="EP50" s="1325"/>
      <c r="EQ50" s="1325"/>
      <c r="ER50" s="1325"/>
      <c r="ES50" s="1325"/>
      <c r="ET50" s="1325"/>
      <c r="EU50" s="1325"/>
      <c r="EV50" s="1325"/>
      <c r="EW50" s="1325"/>
      <c r="EX50" s="1325"/>
      <c r="EY50" s="1325"/>
      <c r="EZ50" s="1325"/>
      <c r="FA50" s="1325"/>
      <c r="FB50" s="1325"/>
      <c r="FC50" s="1325"/>
      <c r="FD50" s="1325"/>
      <c r="FE50" s="1325"/>
      <c r="FF50" s="1325"/>
      <c r="FG50" s="1325"/>
      <c r="FH50" s="1325"/>
      <c r="FI50" s="1325"/>
      <c r="FJ50" s="1325"/>
      <c r="FK50" s="1325"/>
      <c r="FL50" s="1325"/>
      <c r="FM50" s="1325"/>
      <c r="FN50" s="1325"/>
      <c r="FO50" s="1325"/>
      <c r="FP50" s="1325"/>
      <c r="FQ50" s="1325"/>
      <c r="FR50" s="1325"/>
      <c r="FS50" s="1325"/>
      <c r="FT50" s="1325"/>
      <c r="FU50" s="1325"/>
      <c r="FV50" s="1325"/>
      <c r="FW50" s="1325"/>
      <c r="FX50" s="1325"/>
      <c r="FY50" s="1325"/>
      <c r="FZ50" s="1325"/>
      <c r="GA50" s="1325"/>
      <c r="GB50" s="1325"/>
      <c r="GC50" s="1325"/>
      <c r="GD50" s="1325"/>
      <c r="GE50" s="1325"/>
      <c r="GF50" s="1325"/>
      <c r="GG50" s="1325"/>
      <c r="GH50" s="1325"/>
      <c r="GI50" s="1325"/>
      <c r="GJ50" s="1325"/>
      <c r="GK50" s="1325"/>
      <c r="GL50" s="1325"/>
      <c r="GM50" s="1325"/>
      <c r="GN50" s="1325"/>
      <c r="GO50" s="1325"/>
      <c r="GP50" s="1325"/>
      <c r="GQ50" s="1325"/>
      <c r="GR50" s="1325"/>
      <c r="GS50" s="1325"/>
      <c r="GT50" s="1325"/>
      <c r="GU50" s="1325"/>
      <c r="GV50" s="1325"/>
      <c r="GW50" s="1325"/>
      <c r="GX50" s="1325"/>
      <c r="GY50" s="1325"/>
      <c r="GZ50" s="1325"/>
      <c r="HA50" s="1325"/>
      <c r="HB50" s="1325"/>
      <c r="HC50" s="1325"/>
      <c r="HD50" s="1325"/>
      <c r="HE50" s="1325"/>
      <c r="HF50" s="1325"/>
      <c r="HG50" s="1325"/>
      <c r="HH50" s="1325"/>
      <c r="HI50" s="1325"/>
      <c r="HJ50" s="1325"/>
      <c r="HK50" s="1325"/>
      <c r="HL50" s="1325"/>
      <c r="HM50" s="1325"/>
      <c r="HN50" s="1325"/>
      <c r="HO50" s="1325"/>
      <c r="HP50" s="1325"/>
      <c r="HQ50" s="1325"/>
      <c r="HR50" s="1325"/>
      <c r="HS50" s="1325"/>
      <c r="HT50" s="1325"/>
      <c r="HU50" s="1325"/>
      <c r="HV50" s="1325"/>
      <c r="HW50" s="1325"/>
      <c r="HX50" s="1325"/>
      <c r="HY50" s="1325"/>
      <c r="HZ50" s="1325"/>
      <c r="IA50" s="1325"/>
      <c r="IB50" s="1325"/>
      <c r="IC50" s="1325"/>
      <c r="ID50" s="1325"/>
      <c r="IE50" s="1325"/>
      <c r="IF50" s="1325"/>
      <c r="IG50" s="1325"/>
      <c r="IH50" s="1325"/>
      <c r="II50" s="1325"/>
      <c r="IJ50" s="1325"/>
      <c r="IK50" s="1325"/>
      <c r="IL50" s="1325"/>
      <c r="IM50" s="1325"/>
      <c r="IN50" s="1325"/>
      <c r="IO50" s="1325"/>
      <c r="IP50" s="1325"/>
      <c r="IQ50" s="1325"/>
      <c r="IR50" s="1325"/>
      <c r="IS50" s="1325"/>
      <c r="IT50" s="1325"/>
      <c r="IU50" s="1325"/>
      <c r="IV50" s="1325"/>
    </row>
    <row r="51" spans="1:256" ht="38.25">
      <c r="A51" s="1326" t="s">
        <v>844</v>
      </c>
      <c r="B51" s="1327" t="s">
        <v>845</v>
      </c>
      <c r="C51" s="1328"/>
      <c r="D51" s="1328"/>
      <c r="E51" s="1325"/>
      <c r="F51" s="1325"/>
      <c r="G51" s="1325"/>
      <c r="H51" s="1325"/>
      <c r="I51" s="1325"/>
      <c r="J51" s="1325"/>
      <c r="K51" s="1325"/>
      <c r="L51" s="1325"/>
      <c r="M51" s="1325"/>
      <c r="N51" s="1325"/>
      <c r="O51" s="1325"/>
      <c r="P51" s="1325"/>
      <c r="Q51" s="1325"/>
      <c r="R51" s="1325"/>
      <c r="S51" s="1325"/>
      <c r="T51" s="1325"/>
      <c r="U51" s="1325"/>
      <c r="V51" s="1325"/>
      <c r="W51" s="1325"/>
      <c r="X51" s="1325"/>
      <c r="Y51" s="1325"/>
      <c r="Z51" s="1325"/>
      <c r="AA51" s="1325"/>
      <c r="AB51" s="1325"/>
      <c r="AC51" s="1325"/>
      <c r="AD51" s="1325"/>
      <c r="AE51" s="1325"/>
      <c r="AF51" s="1325"/>
      <c r="AG51" s="1325"/>
      <c r="AH51" s="1325"/>
      <c r="AI51" s="1325"/>
      <c r="AJ51" s="1325"/>
      <c r="AK51" s="1325"/>
      <c r="AL51" s="1325"/>
      <c r="AM51" s="1325"/>
      <c r="AN51" s="1325"/>
      <c r="AO51" s="1325"/>
      <c r="AP51" s="1325"/>
      <c r="AQ51" s="1325"/>
      <c r="AR51" s="1325"/>
      <c r="AS51" s="1325"/>
      <c r="AT51" s="1325"/>
      <c r="AU51" s="1325"/>
      <c r="AV51" s="1325"/>
      <c r="AW51" s="1325"/>
      <c r="AX51" s="1325"/>
      <c r="AY51" s="1325"/>
      <c r="AZ51" s="1325"/>
      <c r="BA51" s="1325"/>
      <c r="BB51" s="1325"/>
      <c r="BC51" s="1325"/>
      <c r="BD51" s="1325"/>
      <c r="BE51" s="1325"/>
      <c r="BF51" s="1325"/>
      <c r="BG51" s="1325"/>
      <c r="BH51" s="1325"/>
      <c r="BI51" s="1325"/>
      <c r="BJ51" s="1325"/>
      <c r="BK51" s="1325"/>
      <c r="BL51" s="1325"/>
      <c r="BM51" s="1325"/>
      <c r="BN51" s="1325"/>
      <c r="BO51" s="1325"/>
      <c r="BP51" s="1325"/>
      <c r="BQ51" s="1325"/>
      <c r="BR51" s="1325"/>
      <c r="BS51" s="1325"/>
      <c r="BT51" s="1325"/>
      <c r="BU51" s="1325"/>
      <c r="BV51" s="1325"/>
      <c r="BW51" s="1325"/>
      <c r="BX51" s="1325"/>
      <c r="BY51" s="1325"/>
      <c r="BZ51" s="1325"/>
      <c r="CA51" s="1325"/>
      <c r="CB51" s="1325"/>
      <c r="CC51" s="1325"/>
      <c r="CD51" s="1325"/>
      <c r="CE51" s="1325"/>
      <c r="CF51" s="1325"/>
      <c r="CG51" s="1325"/>
      <c r="CH51" s="1325"/>
      <c r="CI51" s="1325"/>
      <c r="CJ51" s="1325"/>
      <c r="CK51" s="1325"/>
      <c r="CL51" s="1325"/>
      <c r="CM51" s="1325"/>
      <c r="CN51" s="1325"/>
      <c r="CO51" s="1325"/>
      <c r="CP51" s="1325"/>
      <c r="CQ51" s="1325"/>
      <c r="CR51" s="1325"/>
      <c r="CS51" s="1325"/>
      <c r="CT51" s="1325"/>
      <c r="CU51" s="1325"/>
      <c r="CV51" s="1325"/>
      <c r="CW51" s="1325"/>
      <c r="CX51" s="1325"/>
      <c r="CY51" s="1325"/>
      <c r="CZ51" s="1325"/>
      <c r="DA51" s="1325"/>
      <c r="DB51" s="1325"/>
      <c r="DC51" s="1325"/>
      <c r="DD51" s="1325"/>
      <c r="DE51" s="1325"/>
      <c r="DF51" s="1325"/>
      <c r="DG51" s="1325"/>
      <c r="DH51" s="1325"/>
      <c r="DI51" s="1325"/>
      <c r="DJ51" s="1325"/>
      <c r="DK51" s="1325"/>
      <c r="DL51" s="1325"/>
      <c r="DM51" s="1325"/>
      <c r="DN51" s="1325"/>
      <c r="DO51" s="1325"/>
      <c r="DP51" s="1325"/>
      <c r="DQ51" s="1325"/>
      <c r="DR51" s="1325"/>
      <c r="DS51" s="1325"/>
      <c r="DT51" s="1325"/>
      <c r="DU51" s="1325"/>
      <c r="DV51" s="1325"/>
      <c r="DW51" s="1325"/>
      <c r="DX51" s="1325"/>
      <c r="DY51" s="1325"/>
      <c r="DZ51" s="1325"/>
      <c r="EA51" s="1325"/>
      <c r="EB51" s="1325"/>
      <c r="EC51" s="1325"/>
      <c r="ED51" s="1325"/>
      <c r="EE51" s="1325"/>
      <c r="EF51" s="1325"/>
      <c r="EG51" s="1325"/>
      <c r="EH51" s="1325"/>
      <c r="EI51" s="1325"/>
      <c r="EJ51" s="1325"/>
      <c r="EK51" s="1325"/>
      <c r="EL51" s="1325"/>
      <c r="EM51" s="1325"/>
      <c r="EN51" s="1325"/>
      <c r="EO51" s="1325"/>
      <c r="EP51" s="1325"/>
      <c r="EQ51" s="1325"/>
      <c r="ER51" s="1325"/>
      <c r="ES51" s="1325"/>
      <c r="ET51" s="1325"/>
      <c r="EU51" s="1325"/>
      <c r="EV51" s="1325"/>
      <c r="EW51" s="1325"/>
      <c r="EX51" s="1325"/>
      <c r="EY51" s="1325"/>
      <c r="EZ51" s="1325"/>
      <c r="FA51" s="1325"/>
      <c r="FB51" s="1325"/>
      <c r="FC51" s="1325"/>
      <c r="FD51" s="1325"/>
      <c r="FE51" s="1325"/>
      <c r="FF51" s="1325"/>
      <c r="FG51" s="1325"/>
      <c r="FH51" s="1325"/>
      <c r="FI51" s="1325"/>
      <c r="FJ51" s="1325"/>
      <c r="FK51" s="1325"/>
      <c r="FL51" s="1325"/>
      <c r="FM51" s="1325"/>
      <c r="FN51" s="1325"/>
      <c r="FO51" s="1325"/>
      <c r="FP51" s="1325"/>
      <c r="FQ51" s="1325"/>
      <c r="FR51" s="1325"/>
      <c r="FS51" s="1325"/>
      <c r="FT51" s="1325"/>
      <c r="FU51" s="1325"/>
      <c r="FV51" s="1325"/>
      <c r="FW51" s="1325"/>
      <c r="FX51" s="1325"/>
      <c r="FY51" s="1325"/>
      <c r="FZ51" s="1325"/>
      <c r="GA51" s="1325"/>
      <c r="GB51" s="1325"/>
      <c r="GC51" s="1325"/>
      <c r="GD51" s="1325"/>
      <c r="GE51" s="1325"/>
      <c r="GF51" s="1325"/>
      <c r="GG51" s="1325"/>
      <c r="GH51" s="1325"/>
      <c r="GI51" s="1325"/>
      <c r="GJ51" s="1325"/>
      <c r="GK51" s="1325"/>
      <c r="GL51" s="1325"/>
      <c r="GM51" s="1325"/>
      <c r="GN51" s="1325"/>
      <c r="GO51" s="1325"/>
      <c r="GP51" s="1325"/>
      <c r="GQ51" s="1325"/>
      <c r="GR51" s="1325"/>
      <c r="GS51" s="1325"/>
      <c r="GT51" s="1325"/>
      <c r="GU51" s="1325"/>
      <c r="GV51" s="1325"/>
      <c r="GW51" s="1325"/>
      <c r="GX51" s="1325"/>
      <c r="GY51" s="1325"/>
      <c r="GZ51" s="1325"/>
      <c r="HA51" s="1325"/>
      <c r="HB51" s="1325"/>
      <c r="HC51" s="1325"/>
      <c r="HD51" s="1325"/>
      <c r="HE51" s="1325"/>
      <c r="HF51" s="1325"/>
      <c r="HG51" s="1325"/>
      <c r="HH51" s="1325"/>
      <c r="HI51" s="1325"/>
      <c r="HJ51" s="1325"/>
      <c r="HK51" s="1325"/>
      <c r="HL51" s="1325"/>
      <c r="HM51" s="1325"/>
      <c r="HN51" s="1325"/>
      <c r="HO51" s="1325"/>
      <c r="HP51" s="1325"/>
      <c r="HQ51" s="1325"/>
      <c r="HR51" s="1325"/>
      <c r="HS51" s="1325"/>
      <c r="HT51" s="1325"/>
      <c r="HU51" s="1325"/>
      <c r="HV51" s="1325"/>
      <c r="HW51" s="1325"/>
      <c r="HX51" s="1325"/>
      <c r="HY51" s="1325"/>
      <c r="HZ51" s="1325"/>
      <c r="IA51" s="1325"/>
      <c r="IB51" s="1325"/>
      <c r="IC51" s="1325"/>
      <c r="ID51" s="1325"/>
      <c r="IE51" s="1325"/>
      <c r="IF51" s="1325"/>
      <c r="IG51" s="1325"/>
      <c r="IH51" s="1325"/>
      <c r="II51" s="1325"/>
      <c r="IJ51" s="1325"/>
      <c r="IK51" s="1325"/>
      <c r="IL51" s="1325"/>
      <c r="IM51" s="1325"/>
      <c r="IN51" s="1325"/>
      <c r="IO51" s="1325"/>
      <c r="IP51" s="1325"/>
      <c r="IQ51" s="1325"/>
      <c r="IR51" s="1325"/>
      <c r="IS51" s="1325"/>
      <c r="IT51" s="1325"/>
      <c r="IU51" s="1325"/>
      <c r="IV51" s="1325"/>
    </row>
    <row r="52" spans="1:256" ht="25.5">
      <c r="A52" s="1326" t="s">
        <v>846</v>
      </c>
      <c r="B52" s="1327" t="s">
        <v>847</v>
      </c>
      <c r="C52" s="1328"/>
      <c r="D52" s="1328"/>
      <c r="E52" s="1325"/>
      <c r="F52" s="1325"/>
      <c r="G52" s="1325"/>
      <c r="H52" s="1325"/>
      <c r="I52" s="1325"/>
      <c r="J52" s="1325"/>
      <c r="K52" s="1325"/>
      <c r="L52" s="1325"/>
      <c r="M52" s="1325"/>
      <c r="N52" s="1325"/>
      <c r="O52" s="1325"/>
      <c r="P52" s="1325"/>
      <c r="Q52" s="1325"/>
      <c r="R52" s="1325"/>
      <c r="S52" s="1325"/>
      <c r="T52" s="1325"/>
      <c r="U52" s="1325"/>
      <c r="V52" s="1325"/>
      <c r="W52" s="1325"/>
      <c r="X52" s="1325"/>
      <c r="Y52" s="1325"/>
      <c r="Z52" s="1325"/>
      <c r="AA52" s="1325"/>
      <c r="AB52" s="1325"/>
      <c r="AC52" s="1325"/>
      <c r="AD52" s="1325"/>
      <c r="AE52" s="1325"/>
      <c r="AF52" s="1325"/>
      <c r="AG52" s="1325"/>
      <c r="AH52" s="1325"/>
      <c r="AI52" s="1325"/>
      <c r="AJ52" s="1325"/>
      <c r="AK52" s="1325"/>
      <c r="AL52" s="1325"/>
      <c r="AM52" s="1325"/>
      <c r="AN52" s="1325"/>
      <c r="AO52" s="1325"/>
      <c r="AP52" s="1325"/>
      <c r="AQ52" s="1325"/>
      <c r="AR52" s="1325"/>
      <c r="AS52" s="1325"/>
      <c r="AT52" s="1325"/>
      <c r="AU52" s="1325"/>
      <c r="AV52" s="1325"/>
      <c r="AW52" s="1325"/>
      <c r="AX52" s="1325"/>
      <c r="AY52" s="1325"/>
      <c r="AZ52" s="1325"/>
      <c r="BA52" s="1325"/>
      <c r="BB52" s="1325"/>
      <c r="BC52" s="1325"/>
      <c r="BD52" s="1325"/>
      <c r="BE52" s="1325"/>
      <c r="BF52" s="1325"/>
      <c r="BG52" s="1325"/>
      <c r="BH52" s="1325"/>
      <c r="BI52" s="1325"/>
      <c r="BJ52" s="1325"/>
      <c r="BK52" s="1325"/>
      <c r="BL52" s="1325"/>
      <c r="BM52" s="1325"/>
      <c r="BN52" s="1325"/>
      <c r="BO52" s="1325"/>
      <c r="BP52" s="1325"/>
      <c r="BQ52" s="1325"/>
      <c r="BR52" s="1325"/>
      <c r="BS52" s="1325"/>
      <c r="BT52" s="1325"/>
      <c r="BU52" s="1325"/>
      <c r="BV52" s="1325"/>
      <c r="BW52" s="1325"/>
      <c r="BX52" s="1325"/>
      <c r="BY52" s="1325"/>
      <c r="BZ52" s="1325"/>
      <c r="CA52" s="1325"/>
      <c r="CB52" s="1325"/>
      <c r="CC52" s="1325"/>
      <c r="CD52" s="1325"/>
      <c r="CE52" s="1325"/>
      <c r="CF52" s="1325"/>
      <c r="CG52" s="1325"/>
      <c r="CH52" s="1325"/>
      <c r="CI52" s="1325"/>
      <c r="CJ52" s="1325"/>
      <c r="CK52" s="1325"/>
      <c r="CL52" s="1325"/>
      <c r="CM52" s="1325"/>
      <c r="CN52" s="1325"/>
      <c r="CO52" s="1325"/>
      <c r="CP52" s="1325"/>
      <c r="CQ52" s="1325"/>
      <c r="CR52" s="1325"/>
      <c r="CS52" s="1325"/>
      <c r="CT52" s="1325"/>
      <c r="CU52" s="1325"/>
      <c r="CV52" s="1325"/>
      <c r="CW52" s="1325"/>
      <c r="CX52" s="1325"/>
      <c r="CY52" s="1325"/>
      <c r="CZ52" s="1325"/>
      <c r="DA52" s="1325"/>
      <c r="DB52" s="1325"/>
      <c r="DC52" s="1325"/>
      <c r="DD52" s="1325"/>
      <c r="DE52" s="1325"/>
      <c r="DF52" s="1325"/>
      <c r="DG52" s="1325"/>
      <c r="DH52" s="1325"/>
      <c r="DI52" s="1325"/>
      <c r="DJ52" s="1325"/>
      <c r="DK52" s="1325"/>
      <c r="DL52" s="1325"/>
      <c r="DM52" s="1325"/>
      <c r="DN52" s="1325"/>
      <c r="DO52" s="1325"/>
      <c r="DP52" s="1325"/>
      <c r="DQ52" s="1325"/>
      <c r="DR52" s="1325"/>
      <c r="DS52" s="1325"/>
      <c r="DT52" s="1325"/>
      <c r="DU52" s="1325"/>
      <c r="DV52" s="1325"/>
      <c r="DW52" s="1325"/>
      <c r="DX52" s="1325"/>
      <c r="DY52" s="1325"/>
      <c r="DZ52" s="1325"/>
      <c r="EA52" s="1325"/>
      <c r="EB52" s="1325"/>
      <c r="EC52" s="1325"/>
      <c r="ED52" s="1325"/>
      <c r="EE52" s="1325"/>
      <c r="EF52" s="1325"/>
      <c r="EG52" s="1325"/>
      <c r="EH52" s="1325"/>
      <c r="EI52" s="1325"/>
      <c r="EJ52" s="1325"/>
      <c r="EK52" s="1325"/>
      <c r="EL52" s="1325"/>
      <c r="EM52" s="1325"/>
      <c r="EN52" s="1325"/>
      <c r="EO52" s="1325"/>
      <c r="EP52" s="1325"/>
      <c r="EQ52" s="1325"/>
      <c r="ER52" s="1325"/>
      <c r="ES52" s="1325"/>
      <c r="ET52" s="1325"/>
      <c r="EU52" s="1325"/>
      <c r="EV52" s="1325"/>
      <c r="EW52" s="1325"/>
      <c r="EX52" s="1325"/>
      <c r="EY52" s="1325"/>
      <c r="EZ52" s="1325"/>
      <c r="FA52" s="1325"/>
      <c r="FB52" s="1325"/>
      <c r="FC52" s="1325"/>
      <c r="FD52" s="1325"/>
      <c r="FE52" s="1325"/>
      <c r="FF52" s="1325"/>
      <c r="FG52" s="1325"/>
      <c r="FH52" s="1325"/>
      <c r="FI52" s="1325"/>
      <c r="FJ52" s="1325"/>
      <c r="FK52" s="1325"/>
      <c r="FL52" s="1325"/>
      <c r="FM52" s="1325"/>
      <c r="FN52" s="1325"/>
      <c r="FO52" s="1325"/>
      <c r="FP52" s="1325"/>
      <c r="FQ52" s="1325"/>
      <c r="FR52" s="1325"/>
      <c r="FS52" s="1325"/>
      <c r="FT52" s="1325"/>
      <c r="FU52" s="1325"/>
      <c r="FV52" s="1325"/>
      <c r="FW52" s="1325"/>
      <c r="FX52" s="1325"/>
      <c r="FY52" s="1325"/>
      <c r="FZ52" s="1325"/>
      <c r="GA52" s="1325"/>
      <c r="GB52" s="1325"/>
      <c r="GC52" s="1325"/>
      <c r="GD52" s="1325"/>
      <c r="GE52" s="1325"/>
      <c r="GF52" s="1325"/>
      <c r="GG52" s="1325"/>
      <c r="GH52" s="1325"/>
      <c r="GI52" s="1325"/>
      <c r="GJ52" s="1325"/>
      <c r="GK52" s="1325"/>
      <c r="GL52" s="1325"/>
      <c r="GM52" s="1325"/>
      <c r="GN52" s="1325"/>
      <c r="GO52" s="1325"/>
      <c r="GP52" s="1325"/>
      <c r="GQ52" s="1325"/>
      <c r="GR52" s="1325"/>
      <c r="GS52" s="1325"/>
      <c r="GT52" s="1325"/>
      <c r="GU52" s="1325"/>
      <c r="GV52" s="1325"/>
      <c r="GW52" s="1325"/>
      <c r="GX52" s="1325"/>
      <c r="GY52" s="1325"/>
      <c r="GZ52" s="1325"/>
      <c r="HA52" s="1325"/>
      <c r="HB52" s="1325"/>
      <c r="HC52" s="1325"/>
      <c r="HD52" s="1325"/>
      <c r="HE52" s="1325"/>
      <c r="HF52" s="1325"/>
      <c r="HG52" s="1325"/>
      <c r="HH52" s="1325"/>
      <c r="HI52" s="1325"/>
      <c r="HJ52" s="1325"/>
      <c r="HK52" s="1325"/>
      <c r="HL52" s="1325"/>
      <c r="HM52" s="1325"/>
      <c r="HN52" s="1325"/>
      <c r="HO52" s="1325"/>
      <c r="HP52" s="1325"/>
      <c r="HQ52" s="1325"/>
      <c r="HR52" s="1325"/>
      <c r="HS52" s="1325"/>
      <c r="HT52" s="1325"/>
      <c r="HU52" s="1325"/>
      <c r="HV52" s="1325"/>
      <c r="HW52" s="1325"/>
      <c r="HX52" s="1325"/>
      <c r="HY52" s="1325"/>
      <c r="HZ52" s="1325"/>
      <c r="IA52" s="1325"/>
      <c r="IB52" s="1325"/>
      <c r="IC52" s="1325"/>
      <c r="ID52" s="1325"/>
      <c r="IE52" s="1325"/>
      <c r="IF52" s="1325"/>
      <c r="IG52" s="1325"/>
      <c r="IH52" s="1325"/>
      <c r="II52" s="1325"/>
      <c r="IJ52" s="1325"/>
      <c r="IK52" s="1325"/>
      <c r="IL52" s="1325"/>
      <c r="IM52" s="1325"/>
      <c r="IN52" s="1325"/>
      <c r="IO52" s="1325"/>
      <c r="IP52" s="1325"/>
      <c r="IQ52" s="1325"/>
      <c r="IR52" s="1325"/>
      <c r="IS52" s="1325"/>
      <c r="IT52" s="1325"/>
      <c r="IU52" s="1325"/>
      <c r="IV52" s="1325"/>
    </row>
    <row r="53" spans="1:256" ht="15.75">
      <c r="A53" s="1326" t="s">
        <v>848</v>
      </c>
      <c r="B53" s="1327" t="s">
        <v>849</v>
      </c>
      <c r="C53" s="1328"/>
      <c r="D53" s="1328"/>
      <c r="E53" s="1325"/>
      <c r="F53" s="1325"/>
      <c r="G53" s="1325"/>
      <c r="H53" s="1325"/>
      <c r="I53" s="1325"/>
      <c r="J53" s="1325"/>
      <c r="K53" s="1325"/>
      <c r="L53" s="1325"/>
      <c r="M53" s="1325"/>
      <c r="N53" s="1325"/>
      <c r="O53" s="1325"/>
      <c r="P53" s="1325"/>
      <c r="Q53" s="1325"/>
      <c r="R53" s="1325"/>
      <c r="S53" s="1325"/>
      <c r="T53" s="1325"/>
      <c r="U53" s="1325"/>
      <c r="V53" s="1325"/>
      <c r="W53" s="1325"/>
      <c r="X53" s="1325"/>
      <c r="Y53" s="1325"/>
      <c r="Z53" s="1325"/>
      <c r="AA53" s="1325"/>
      <c r="AB53" s="1325"/>
      <c r="AC53" s="1325"/>
      <c r="AD53" s="1325"/>
      <c r="AE53" s="1325"/>
      <c r="AF53" s="1325"/>
      <c r="AG53" s="1325"/>
      <c r="AH53" s="1325"/>
      <c r="AI53" s="1325"/>
      <c r="AJ53" s="1325"/>
      <c r="AK53" s="1325"/>
      <c r="AL53" s="1325"/>
      <c r="AM53" s="1325"/>
      <c r="AN53" s="1325"/>
      <c r="AO53" s="1325"/>
      <c r="AP53" s="1325"/>
      <c r="AQ53" s="1325"/>
      <c r="AR53" s="1325"/>
      <c r="AS53" s="1325"/>
      <c r="AT53" s="1325"/>
      <c r="AU53" s="1325"/>
      <c r="AV53" s="1325"/>
      <c r="AW53" s="1325"/>
      <c r="AX53" s="1325"/>
      <c r="AY53" s="1325"/>
      <c r="AZ53" s="1325"/>
      <c r="BA53" s="1325"/>
      <c r="BB53" s="1325"/>
      <c r="BC53" s="1325"/>
      <c r="BD53" s="1325"/>
      <c r="BE53" s="1325"/>
      <c r="BF53" s="1325"/>
      <c r="BG53" s="1325"/>
      <c r="BH53" s="1325"/>
      <c r="BI53" s="1325"/>
      <c r="BJ53" s="1325"/>
      <c r="BK53" s="1325"/>
      <c r="BL53" s="1325"/>
      <c r="BM53" s="1325"/>
      <c r="BN53" s="1325"/>
      <c r="BO53" s="1325"/>
      <c r="BP53" s="1325"/>
      <c r="BQ53" s="1325"/>
      <c r="BR53" s="1325"/>
      <c r="BS53" s="1325"/>
      <c r="BT53" s="1325"/>
      <c r="BU53" s="1325"/>
      <c r="BV53" s="1325"/>
      <c r="BW53" s="1325"/>
      <c r="BX53" s="1325"/>
      <c r="BY53" s="1325"/>
      <c r="BZ53" s="1325"/>
      <c r="CA53" s="1325"/>
      <c r="CB53" s="1325"/>
      <c r="CC53" s="1325"/>
      <c r="CD53" s="1325"/>
      <c r="CE53" s="1325"/>
      <c r="CF53" s="1325"/>
      <c r="CG53" s="1325"/>
      <c r="CH53" s="1325"/>
      <c r="CI53" s="1325"/>
      <c r="CJ53" s="1325"/>
      <c r="CK53" s="1325"/>
      <c r="CL53" s="1325"/>
      <c r="CM53" s="1325"/>
      <c r="CN53" s="1325"/>
      <c r="CO53" s="1325"/>
      <c r="CP53" s="1325"/>
      <c r="CQ53" s="1325"/>
      <c r="CR53" s="1325"/>
      <c r="CS53" s="1325"/>
      <c r="CT53" s="1325"/>
      <c r="CU53" s="1325"/>
      <c r="CV53" s="1325"/>
      <c r="CW53" s="1325"/>
      <c r="CX53" s="1325"/>
      <c r="CY53" s="1325"/>
      <c r="CZ53" s="1325"/>
      <c r="DA53" s="1325"/>
      <c r="DB53" s="1325"/>
      <c r="DC53" s="1325"/>
      <c r="DD53" s="1325"/>
      <c r="DE53" s="1325"/>
      <c r="DF53" s="1325"/>
      <c r="DG53" s="1325"/>
      <c r="DH53" s="1325"/>
      <c r="DI53" s="1325"/>
      <c r="DJ53" s="1325"/>
      <c r="DK53" s="1325"/>
      <c r="DL53" s="1325"/>
      <c r="DM53" s="1325"/>
      <c r="DN53" s="1325"/>
      <c r="DO53" s="1325"/>
      <c r="DP53" s="1325"/>
      <c r="DQ53" s="1325"/>
      <c r="DR53" s="1325"/>
      <c r="DS53" s="1325"/>
      <c r="DT53" s="1325"/>
      <c r="DU53" s="1325"/>
      <c r="DV53" s="1325"/>
      <c r="DW53" s="1325"/>
      <c r="DX53" s="1325"/>
      <c r="DY53" s="1325"/>
      <c r="DZ53" s="1325"/>
      <c r="EA53" s="1325"/>
      <c r="EB53" s="1325"/>
      <c r="EC53" s="1325"/>
      <c r="ED53" s="1325"/>
      <c r="EE53" s="1325"/>
      <c r="EF53" s="1325"/>
      <c r="EG53" s="1325"/>
      <c r="EH53" s="1325"/>
      <c r="EI53" s="1325"/>
      <c r="EJ53" s="1325"/>
      <c r="EK53" s="1325"/>
      <c r="EL53" s="1325"/>
      <c r="EM53" s="1325"/>
      <c r="EN53" s="1325"/>
      <c r="EO53" s="1325"/>
      <c r="EP53" s="1325"/>
      <c r="EQ53" s="1325"/>
      <c r="ER53" s="1325"/>
      <c r="ES53" s="1325"/>
      <c r="ET53" s="1325"/>
      <c r="EU53" s="1325"/>
      <c r="EV53" s="1325"/>
      <c r="EW53" s="1325"/>
      <c r="EX53" s="1325"/>
      <c r="EY53" s="1325"/>
      <c r="EZ53" s="1325"/>
      <c r="FA53" s="1325"/>
      <c r="FB53" s="1325"/>
      <c r="FC53" s="1325"/>
      <c r="FD53" s="1325"/>
      <c r="FE53" s="1325"/>
      <c r="FF53" s="1325"/>
      <c r="FG53" s="1325"/>
      <c r="FH53" s="1325"/>
      <c r="FI53" s="1325"/>
      <c r="FJ53" s="1325"/>
      <c r="FK53" s="1325"/>
      <c r="FL53" s="1325"/>
      <c r="FM53" s="1325"/>
      <c r="FN53" s="1325"/>
      <c r="FO53" s="1325"/>
      <c r="FP53" s="1325"/>
      <c r="FQ53" s="1325"/>
      <c r="FR53" s="1325"/>
      <c r="FS53" s="1325"/>
      <c r="FT53" s="1325"/>
      <c r="FU53" s="1325"/>
      <c r="FV53" s="1325"/>
      <c r="FW53" s="1325"/>
      <c r="FX53" s="1325"/>
      <c r="FY53" s="1325"/>
      <c r="FZ53" s="1325"/>
      <c r="GA53" s="1325"/>
      <c r="GB53" s="1325"/>
      <c r="GC53" s="1325"/>
      <c r="GD53" s="1325"/>
      <c r="GE53" s="1325"/>
      <c r="GF53" s="1325"/>
      <c r="GG53" s="1325"/>
      <c r="GH53" s="1325"/>
      <c r="GI53" s="1325"/>
      <c r="GJ53" s="1325"/>
      <c r="GK53" s="1325"/>
      <c r="GL53" s="1325"/>
      <c r="GM53" s="1325"/>
      <c r="GN53" s="1325"/>
      <c r="GO53" s="1325"/>
      <c r="GP53" s="1325"/>
      <c r="GQ53" s="1325"/>
      <c r="GR53" s="1325"/>
      <c r="GS53" s="1325"/>
      <c r="GT53" s="1325"/>
      <c r="GU53" s="1325"/>
      <c r="GV53" s="1325"/>
      <c r="GW53" s="1325"/>
      <c r="GX53" s="1325"/>
      <c r="GY53" s="1325"/>
      <c r="GZ53" s="1325"/>
      <c r="HA53" s="1325"/>
      <c r="HB53" s="1325"/>
      <c r="HC53" s="1325"/>
      <c r="HD53" s="1325"/>
      <c r="HE53" s="1325"/>
      <c r="HF53" s="1325"/>
      <c r="HG53" s="1325"/>
      <c r="HH53" s="1325"/>
      <c r="HI53" s="1325"/>
      <c r="HJ53" s="1325"/>
      <c r="HK53" s="1325"/>
      <c r="HL53" s="1325"/>
      <c r="HM53" s="1325"/>
      <c r="HN53" s="1325"/>
      <c r="HO53" s="1325"/>
      <c r="HP53" s="1325"/>
      <c r="HQ53" s="1325"/>
      <c r="HR53" s="1325"/>
      <c r="HS53" s="1325"/>
      <c r="HT53" s="1325"/>
      <c r="HU53" s="1325"/>
      <c r="HV53" s="1325"/>
      <c r="HW53" s="1325"/>
      <c r="HX53" s="1325"/>
      <c r="HY53" s="1325"/>
      <c r="HZ53" s="1325"/>
      <c r="IA53" s="1325"/>
      <c r="IB53" s="1325"/>
      <c r="IC53" s="1325"/>
      <c r="ID53" s="1325"/>
      <c r="IE53" s="1325"/>
      <c r="IF53" s="1325"/>
      <c r="IG53" s="1325"/>
      <c r="IH53" s="1325"/>
      <c r="II53" s="1325"/>
      <c r="IJ53" s="1325"/>
      <c r="IK53" s="1325"/>
      <c r="IL53" s="1325"/>
      <c r="IM53" s="1325"/>
      <c r="IN53" s="1325"/>
      <c r="IO53" s="1325"/>
      <c r="IP53" s="1325"/>
      <c r="IQ53" s="1325"/>
      <c r="IR53" s="1325"/>
      <c r="IS53" s="1325"/>
      <c r="IT53" s="1325"/>
      <c r="IU53" s="1325"/>
      <c r="IV53" s="1325"/>
    </row>
    <row r="54" spans="1:256" ht="15.75">
      <c r="A54" s="1329" t="s">
        <v>850</v>
      </c>
      <c r="B54" s="1327" t="s">
        <v>851</v>
      </c>
      <c r="C54" s="1328">
        <v>755995061</v>
      </c>
      <c r="D54" s="1328">
        <v>375695904</v>
      </c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1325"/>
      <c r="AG54" s="1325"/>
      <c r="AH54" s="1325"/>
      <c r="AI54" s="1325"/>
      <c r="AJ54" s="1325"/>
      <c r="AK54" s="1325"/>
      <c r="AL54" s="1325"/>
      <c r="AM54" s="1325"/>
      <c r="AN54" s="1325"/>
      <c r="AO54" s="1325"/>
      <c r="AP54" s="1325"/>
      <c r="AQ54" s="1325"/>
      <c r="AR54" s="1325"/>
      <c r="AS54" s="1325"/>
      <c r="AT54" s="1325"/>
      <c r="AU54" s="1325"/>
      <c r="AV54" s="1325"/>
      <c r="AW54" s="1325"/>
      <c r="AX54" s="1325"/>
      <c r="AY54" s="1325"/>
      <c r="AZ54" s="1325"/>
      <c r="BA54" s="1325"/>
      <c r="BB54" s="1325"/>
      <c r="BC54" s="1325"/>
      <c r="BD54" s="1325"/>
      <c r="BE54" s="1325"/>
      <c r="BF54" s="1325"/>
      <c r="BG54" s="1325"/>
      <c r="BH54" s="1325"/>
      <c r="BI54" s="1325"/>
      <c r="BJ54" s="1325"/>
      <c r="BK54" s="1325"/>
      <c r="BL54" s="1325"/>
      <c r="BM54" s="1325"/>
      <c r="BN54" s="1325"/>
      <c r="BO54" s="1325"/>
      <c r="BP54" s="1325"/>
      <c r="BQ54" s="1325"/>
      <c r="BR54" s="1325"/>
      <c r="BS54" s="1325"/>
      <c r="BT54" s="1325"/>
      <c r="BU54" s="1325"/>
      <c r="BV54" s="1325"/>
      <c r="BW54" s="1325"/>
      <c r="BX54" s="1325"/>
      <c r="BY54" s="1325"/>
      <c r="BZ54" s="1325"/>
      <c r="CA54" s="1325"/>
      <c r="CB54" s="1325"/>
      <c r="CC54" s="1325"/>
      <c r="CD54" s="1325"/>
      <c r="CE54" s="1325"/>
      <c r="CF54" s="1325"/>
      <c r="CG54" s="1325"/>
      <c r="CH54" s="1325"/>
      <c r="CI54" s="1325"/>
      <c r="CJ54" s="1325"/>
      <c r="CK54" s="1325"/>
      <c r="CL54" s="1325"/>
      <c r="CM54" s="1325"/>
      <c r="CN54" s="1325"/>
      <c r="CO54" s="1325"/>
      <c r="CP54" s="1325"/>
      <c r="CQ54" s="1325"/>
      <c r="CR54" s="1325"/>
      <c r="CS54" s="1325"/>
      <c r="CT54" s="1325"/>
      <c r="CU54" s="1325"/>
      <c r="CV54" s="1325"/>
      <c r="CW54" s="1325"/>
      <c r="CX54" s="1325"/>
      <c r="CY54" s="1325"/>
      <c r="CZ54" s="1325"/>
      <c r="DA54" s="1325"/>
      <c r="DB54" s="1325"/>
      <c r="DC54" s="1325"/>
      <c r="DD54" s="1325"/>
      <c r="DE54" s="1325"/>
      <c r="DF54" s="1325"/>
      <c r="DG54" s="1325"/>
      <c r="DH54" s="1325"/>
      <c r="DI54" s="1325"/>
      <c r="DJ54" s="1325"/>
      <c r="DK54" s="1325"/>
      <c r="DL54" s="1325"/>
      <c r="DM54" s="1325"/>
      <c r="DN54" s="1325"/>
      <c r="DO54" s="1325"/>
      <c r="DP54" s="1325"/>
      <c r="DQ54" s="1325"/>
      <c r="DR54" s="1325"/>
      <c r="DS54" s="1325"/>
      <c r="DT54" s="1325"/>
      <c r="DU54" s="1325"/>
      <c r="DV54" s="1325"/>
      <c r="DW54" s="1325"/>
      <c r="DX54" s="1325"/>
      <c r="DY54" s="1325"/>
      <c r="DZ54" s="1325"/>
      <c r="EA54" s="1325"/>
      <c r="EB54" s="1325"/>
      <c r="EC54" s="1325"/>
      <c r="ED54" s="1325"/>
      <c r="EE54" s="1325"/>
      <c r="EF54" s="1325"/>
      <c r="EG54" s="1325"/>
      <c r="EH54" s="1325"/>
      <c r="EI54" s="1325"/>
      <c r="EJ54" s="1325"/>
      <c r="EK54" s="1325"/>
      <c r="EL54" s="1325"/>
      <c r="EM54" s="1325"/>
      <c r="EN54" s="1325"/>
      <c r="EO54" s="1325"/>
      <c r="EP54" s="1325"/>
      <c r="EQ54" s="1325"/>
      <c r="ER54" s="1325"/>
      <c r="ES54" s="1325"/>
      <c r="ET54" s="1325"/>
      <c r="EU54" s="1325"/>
      <c r="EV54" s="1325"/>
      <c r="EW54" s="1325"/>
      <c r="EX54" s="1325"/>
      <c r="EY54" s="1325"/>
      <c r="EZ54" s="1325"/>
      <c r="FA54" s="1325"/>
      <c r="FB54" s="1325"/>
      <c r="FC54" s="1325"/>
      <c r="FD54" s="1325"/>
      <c r="FE54" s="1325"/>
      <c r="FF54" s="1325"/>
      <c r="FG54" s="1325"/>
      <c r="FH54" s="1325"/>
      <c r="FI54" s="1325"/>
      <c r="FJ54" s="1325"/>
      <c r="FK54" s="1325"/>
      <c r="FL54" s="1325"/>
      <c r="FM54" s="1325"/>
      <c r="FN54" s="1325"/>
      <c r="FO54" s="1325"/>
      <c r="FP54" s="1325"/>
      <c r="FQ54" s="1325"/>
      <c r="FR54" s="1325"/>
      <c r="FS54" s="1325"/>
      <c r="FT54" s="1325"/>
      <c r="FU54" s="1325"/>
      <c r="FV54" s="1325"/>
      <c r="FW54" s="1325"/>
      <c r="FX54" s="1325"/>
      <c r="FY54" s="1325"/>
      <c r="FZ54" s="1325"/>
      <c r="GA54" s="1325"/>
      <c r="GB54" s="1325"/>
      <c r="GC54" s="1325"/>
      <c r="GD54" s="1325"/>
      <c r="GE54" s="1325"/>
      <c r="GF54" s="1325"/>
      <c r="GG54" s="1325"/>
      <c r="GH54" s="1325"/>
      <c r="GI54" s="1325"/>
      <c r="GJ54" s="1325"/>
      <c r="GK54" s="1325"/>
      <c r="GL54" s="1325"/>
      <c r="GM54" s="1325"/>
      <c r="GN54" s="1325"/>
      <c r="GO54" s="1325"/>
      <c r="GP54" s="1325"/>
      <c r="GQ54" s="1325"/>
      <c r="GR54" s="1325"/>
      <c r="GS54" s="1325"/>
      <c r="GT54" s="1325"/>
      <c r="GU54" s="1325"/>
      <c r="GV54" s="1325"/>
      <c r="GW54" s="1325"/>
      <c r="GX54" s="1325"/>
      <c r="GY54" s="1325"/>
      <c r="GZ54" s="1325"/>
      <c r="HA54" s="1325"/>
      <c r="HB54" s="1325"/>
      <c r="HC54" s="1325"/>
      <c r="HD54" s="1325"/>
      <c r="HE54" s="1325"/>
      <c r="HF54" s="1325"/>
      <c r="HG54" s="1325"/>
      <c r="HH54" s="1325"/>
      <c r="HI54" s="1325"/>
      <c r="HJ54" s="1325"/>
      <c r="HK54" s="1325"/>
      <c r="HL54" s="1325"/>
      <c r="HM54" s="1325"/>
      <c r="HN54" s="1325"/>
      <c r="HO54" s="1325"/>
      <c r="HP54" s="1325"/>
      <c r="HQ54" s="1325"/>
      <c r="HR54" s="1325"/>
      <c r="HS54" s="1325"/>
      <c r="HT54" s="1325"/>
      <c r="HU54" s="1325"/>
      <c r="HV54" s="1325"/>
      <c r="HW54" s="1325"/>
      <c r="HX54" s="1325"/>
      <c r="HY54" s="1325"/>
      <c r="HZ54" s="1325"/>
      <c r="IA54" s="1325"/>
      <c r="IB54" s="1325"/>
      <c r="IC54" s="1325"/>
      <c r="ID54" s="1325"/>
      <c r="IE54" s="1325"/>
      <c r="IF54" s="1325"/>
      <c r="IG54" s="1325"/>
      <c r="IH54" s="1325"/>
      <c r="II54" s="1325"/>
      <c r="IJ54" s="1325"/>
      <c r="IK54" s="1325"/>
      <c r="IL54" s="1325"/>
      <c r="IM54" s="1325"/>
      <c r="IN54" s="1325"/>
      <c r="IO54" s="1325"/>
      <c r="IP54" s="1325"/>
      <c r="IQ54" s="1325"/>
      <c r="IR54" s="1325"/>
      <c r="IS54" s="1325"/>
      <c r="IT54" s="1325"/>
      <c r="IU54" s="1325"/>
      <c r="IV54" s="1325"/>
    </row>
    <row r="55" spans="1:4" ht="25.5">
      <c r="A55" s="1329" t="s">
        <v>852</v>
      </c>
      <c r="B55" s="1330" t="s">
        <v>853</v>
      </c>
      <c r="C55" s="1331">
        <f>SUM(C7+C12+C38+C54)</f>
        <v>2544161975</v>
      </c>
      <c r="D55" s="1331">
        <f>SUM(D7+D12+D38+D54)</f>
        <v>1683290027</v>
      </c>
    </row>
    <row r="56" spans="1:4" ht="15.75">
      <c r="A56" s="1329" t="s">
        <v>854</v>
      </c>
      <c r="B56" s="1327" t="s">
        <v>855</v>
      </c>
      <c r="C56" s="1335"/>
      <c r="D56" s="1335">
        <v>0</v>
      </c>
    </row>
    <row r="57" spans="1:4" ht="15.75">
      <c r="A57" s="1329" t="s">
        <v>856</v>
      </c>
      <c r="B57" s="1327" t="s">
        <v>857</v>
      </c>
      <c r="C57" s="1328"/>
      <c r="D57" s="1328">
        <v>0</v>
      </c>
    </row>
    <row r="58" spans="1:4" ht="15.75">
      <c r="A58" s="1329" t="s">
        <v>858</v>
      </c>
      <c r="B58" s="1330" t="s">
        <v>859</v>
      </c>
      <c r="C58" s="1331"/>
      <c r="D58" s="1331">
        <f>SUM(D56:D57)</f>
        <v>0</v>
      </c>
    </row>
    <row r="59" spans="1:4" ht="15.75">
      <c r="A59" s="1329" t="s">
        <v>860</v>
      </c>
      <c r="B59" s="1327" t="s">
        <v>861</v>
      </c>
      <c r="C59" s="1336"/>
      <c r="D59" s="1335"/>
    </row>
    <row r="60" spans="1:4" ht="15.75">
      <c r="A60" s="1329" t="s">
        <v>862</v>
      </c>
      <c r="B60" s="1327" t="s">
        <v>863</v>
      </c>
      <c r="C60" s="1336"/>
      <c r="D60" s="1335"/>
    </row>
    <row r="61" spans="1:4" ht="15.75">
      <c r="A61" s="1329" t="s">
        <v>864</v>
      </c>
      <c r="B61" s="1327" t="s">
        <v>865</v>
      </c>
      <c r="C61" s="1336"/>
      <c r="D61" s="1335">
        <v>205656545</v>
      </c>
    </row>
    <row r="62" spans="1:4" ht="15.75">
      <c r="A62" s="1329" t="s">
        <v>866</v>
      </c>
      <c r="B62" s="1327" t="s">
        <v>867</v>
      </c>
      <c r="C62" s="1336"/>
      <c r="D62" s="1335"/>
    </row>
    <row r="63" spans="1:4" ht="15.75">
      <c r="A63" s="1329" t="s">
        <v>868</v>
      </c>
      <c r="B63" s="1327" t="s">
        <v>869</v>
      </c>
      <c r="C63" s="1336"/>
      <c r="D63" s="1335"/>
    </row>
    <row r="64" spans="1:4" ht="15.75">
      <c r="A64" s="1329" t="s">
        <v>870</v>
      </c>
      <c r="B64" s="1330" t="s">
        <v>871</v>
      </c>
      <c r="C64" s="1337"/>
      <c r="D64" s="1331">
        <f>SUM(D59:D63)</f>
        <v>205656545</v>
      </c>
    </row>
    <row r="65" spans="1:4" ht="15.75">
      <c r="A65" s="1329" t="s">
        <v>872</v>
      </c>
      <c r="B65" s="1327" t="s">
        <v>873</v>
      </c>
      <c r="C65" s="1336"/>
      <c r="D65" s="1335">
        <v>5359950</v>
      </c>
    </row>
    <row r="66" spans="1:4" ht="15.75">
      <c r="A66" s="1329" t="s">
        <v>874</v>
      </c>
      <c r="B66" s="1327" t="s">
        <v>875</v>
      </c>
      <c r="C66" s="1336"/>
      <c r="D66" s="1335"/>
    </row>
    <row r="67" spans="1:4" ht="15.75">
      <c r="A67" s="1329" t="s">
        <v>876</v>
      </c>
      <c r="B67" s="1327" t="s">
        <v>877</v>
      </c>
      <c r="C67" s="1336"/>
      <c r="D67" s="1335">
        <v>67044234</v>
      </c>
    </row>
    <row r="68" spans="1:4" ht="15.75">
      <c r="A68" s="1329" t="s">
        <v>878</v>
      </c>
      <c r="B68" s="1330" t="s">
        <v>879</v>
      </c>
      <c r="C68" s="1337"/>
      <c r="D68" s="1331">
        <f>SUM(D65:D67)</f>
        <v>72404184</v>
      </c>
    </row>
    <row r="69" spans="1:4" ht="15.75">
      <c r="A69" s="1329" t="s">
        <v>880</v>
      </c>
      <c r="B69" s="1327" t="s">
        <v>881</v>
      </c>
      <c r="C69" s="1336"/>
      <c r="D69" s="1335"/>
    </row>
    <row r="70" spans="1:4" ht="25.5">
      <c r="A70" s="1329" t="s">
        <v>882</v>
      </c>
      <c r="B70" s="1327" t="s">
        <v>883</v>
      </c>
      <c r="C70" s="1336"/>
      <c r="D70" s="1335"/>
    </row>
    <row r="71" spans="1:4" ht="15.75">
      <c r="A71" s="1329" t="s">
        <v>884</v>
      </c>
      <c r="B71" s="1330" t="s">
        <v>885</v>
      </c>
      <c r="C71" s="1337"/>
      <c r="D71" s="1331">
        <v>-115000</v>
      </c>
    </row>
    <row r="72" spans="1:4" ht="15.75">
      <c r="A72" s="1329" t="s">
        <v>886</v>
      </c>
      <c r="B72" s="1330" t="s">
        <v>887</v>
      </c>
      <c r="C72" s="1336"/>
      <c r="D72" s="1335"/>
    </row>
    <row r="73" spans="1:4" ht="16.5" thickBot="1">
      <c r="A73" s="1338" t="s">
        <v>888</v>
      </c>
      <c r="B73" s="1330" t="s">
        <v>889</v>
      </c>
      <c r="C73" s="1339"/>
      <c r="D73" s="1339">
        <f>SUM(D68+D64+D58+D55+D71+D72)</f>
        <v>1961235756</v>
      </c>
    </row>
    <row r="74" spans="4:5" ht="15.75">
      <c r="D74" s="1341">
        <f>+C92-D73</f>
        <v>0</v>
      </c>
      <c r="E74" s="1342"/>
    </row>
    <row r="75" ht="16.5" thickBot="1"/>
    <row r="76" spans="1:3" ht="15.75">
      <c r="A76" s="2033" t="s">
        <v>890</v>
      </c>
      <c r="B76" s="2035" t="s">
        <v>5</v>
      </c>
      <c r="C76" s="2037" t="s">
        <v>891</v>
      </c>
    </row>
    <row r="77" spans="1:3" ht="15.75">
      <c r="A77" s="2034"/>
      <c r="B77" s="2036"/>
      <c r="C77" s="2038"/>
    </row>
    <row r="78" spans="1:3" ht="16.5" thickBot="1">
      <c r="A78" s="1343" t="s">
        <v>546</v>
      </c>
      <c r="B78" s="1344" t="s">
        <v>14</v>
      </c>
      <c r="C78" s="1345" t="s">
        <v>547</v>
      </c>
    </row>
    <row r="79" spans="1:3" ht="15.75">
      <c r="A79" s="1346" t="s">
        <v>892</v>
      </c>
      <c r="B79" s="1347" t="s">
        <v>771</v>
      </c>
      <c r="C79" s="1348">
        <v>619978596</v>
      </c>
    </row>
    <row r="80" spans="1:3" ht="15.75">
      <c r="A80" s="1346" t="s">
        <v>893</v>
      </c>
      <c r="B80" s="1349" t="s">
        <v>773</v>
      </c>
      <c r="C80" s="1348">
        <v>230721363</v>
      </c>
    </row>
    <row r="81" spans="1:256" ht="15.75">
      <c r="A81" s="1346" t="s">
        <v>894</v>
      </c>
      <c r="B81" s="1349" t="s">
        <v>775</v>
      </c>
      <c r="C81" s="1348">
        <v>81973873</v>
      </c>
      <c r="E81" s="1340"/>
      <c r="F81" s="1340"/>
      <c r="G81" s="1340"/>
      <c r="H81" s="1340"/>
      <c r="I81" s="1340"/>
      <c r="J81" s="1340"/>
      <c r="K81" s="1340"/>
      <c r="L81" s="1340"/>
      <c r="M81" s="1340"/>
      <c r="N81" s="1340"/>
      <c r="O81" s="1340"/>
      <c r="P81" s="1340"/>
      <c r="Q81" s="1340"/>
      <c r="R81" s="1340"/>
      <c r="S81" s="1340"/>
      <c r="T81" s="1340"/>
      <c r="U81" s="1340"/>
      <c r="V81" s="1340"/>
      <c r="W81" s="1340"/>
      <c r="X81" s="1340"/>
      <c r="Y81" s="1340"/>
      <c r="Z81" s="1340"/>
      <c r="AA81" s="1340"/>
      <c r="AB81" s="1340"/>
      <c r="AC81" s="1340"/>
      <c r="AD81" s="1340"/>
      <c r="AE81" s="1340"/>
      <c r="AF81" s="1340"/>
      <c r="AG81" s="1340"/>
      <c r="AH81" s="1340"/>
      <c r="AI81" s="1340"/>
      <c r="AJ81" s="1340"/>
      <c r="AK81" s="1340"/>
      <c r="AL81" s="1340"/>
      <c r="AM81" s="1340"/>
      <c r="AN81" s="1340"/>
      <c r="AO81" s="1340"/>
      <c r="AP81" s="1340"/>
      <c r="AQ81" s="1340"/>
      <c r="AR81" s="1340"/>
      <c r="AS81" s="1340"/>
      <c r="AT81" s="1340"/>
      <c r="AU81" s="1340"/>
      <c r="AV81" s="1340"/>
      <c r="AW81" s="1340"/>
      <c r="AX81" s="1340"/>
      <c r="AY81" s="1340"/>
      <c r="AZ81" s="1340"/>
      <c r="BA81" s="1340"/>
      <c r="BB81" s="1340"/>
      <c r="BC81" s="1340"/>
      <c r="BD81" s="1340"/>
      <c r="BE81" s="1340"/>
      <c r="BF81" s="1340"/>
      <c r="BG81" s="1340"/>
      <c r="BH81" s="1340"/>
      <c r="BI81" s="1340"/>
      <c r="BJ81" s="1340"/>
      <c r="BK81" s="1340"/>
      <c r="BL81" s="1340"/>
      <c r="BM81" s="1340"/>
      <c r="BN81" s="1340"/>
      <c r="BO81" s="1340"/>
      <c r="BP81" s="1340"/>
      <c r="BQ81" s="1340"/>
      <c r="BR81" s="1340"/>
      <c r="BS81" s="1340"/>
      <c r="BT81" s="1340"/>
      <c r="BU81" s="1340"/>
      <c r="BV81" s="1340"/>
      <c r="BW81" s="1340"/>
      <c r="BX81" s="1340"/>
      <c r="BY81" s="1340"/>
      <c r="BZ81" s="1340"/>
      <c r="CA81" s="1340"/>
      <c r="CB81" s="1340"/>
      <c r="CC81" s="1340"/>
      <c r="CD81" s="1340"/>
      <c r="CE81" s="1340"/>
      <c r="CF81" s="1340"/>
      <c r="CG81" s="1340"/>
      <c r="CH81" s="1340"/>
      <c r="CI81" s="1340"/>
      <c r="CJ81" s="1340"/>
      <c r="CK81" s="1340"/>
      <c r="CL81" s="1340"/>
      <c r="CM81" s="1340"/>
      <c r="CN81" s="1340"/>
      <c r="CO81" s="1340"/>
      <c r="CP81" s="1340"/>
      <c r="CQ81" s="1340"/>
      <c r="CR81" s="1340"/>
      <c r="CS81" s="1340"/>
      <c r="CT81" s="1340"/>
      <c r="CU81" s="1340"/>
      <c r="CV81" s="1340"/>
      <c r="CW81" s="1340"/>
      <c r="CX81" s="1340"/>
      <c r="CY81" s="1340"/>
      <c r="CZ81" s="1340"/>
      <c r="DA81" s="1340"/>
      <c r="DB81" s="1340"/>
      <c r="DC81" s="1340"/>
      <c r="DD81" s="1340"/>
      <c r="DE81" s="1340"/>
      <c r="DF81" s="1340"/>
      <c r="DG81" s="1340"/>
      <c r="DH81" s="1340"/>
      <c r="DI81" s="1340"/>
      <c r="DJ81" s="1340"/>
      <c r="DK81" s="1340"/>
      <c r="DL81" s="1340"/>
      <c r="DM81" s="1340"/>
      <c r="DN81" s="1340"/>
      <c r="DO81" s="1340"/>
      <c r="DP81" s="1340"/>
      <c r="DQ81" s="1340"/>
      <c r="DR81" s="1340"/>
      <c r="DS81" s="1340"/>
      <c r="DT81" s="1340"/>
      <c r="DU81" s="1340"/>
      <c r="DV81" s="1340"/>
      <c r="DW81" s="1340"/>
      <c r="DX81" s="1340"/>
      <c r="DY81" s="1340"/>
      <c r="DZ81" s="1340"/>
      <c r="EA81" s="1340"/>
      <c r="EB81" s="1340"/>
      <c r="EC81" s="1340"/>
      <c r="ED81" s="1340"/>
      <c r="EE81" s="1340"/>
      <c r="EF81" s="1340"/>
      <c r="EG81" s="1340"/>
      <c r="EH81" s="1340"/>
      <c r="EI81" s="1340"/>
      <c r="EJ81" s="1340"/>
      <c r="EK81" s="1340"/>
      <c r="EL81" s="1340"/>
      <c r="EM81" s="1340"/>
      <c r="EN81" s="1340"/>
      <c r="EO81" s="1340"/>
      <c r="EP81" s="1340"/>
      <c r="EQ81" s="1340"/>
      <c r="ER81" s="1340"/>
      <c r="ES81" s="1340"/>
      <c r="ET81" s="1340"/>
      <c r="EU81" s="1340"/>
      <c r="EV81" s="1340"/>
      <c r="EW81" s="1340"/>
      <c r="EX81" s="1340"/>
      <c r="EY81" s="1340"/>
      <c r="EZ81" s="1340"/>
      <c r="FA81" s="1340"/>
      <c r="FB81" s="1340"/>
      <c r="FC81" s="1340"/>
      <c r="FD81" s="1340"/>
      <c r="FE81" s="1340"/>
      <c r="FF81" s="1340"/>
      <c r="FG81" s="1340"/>
      <c r="FH81" s="1340"/>
      <c r="FI81" s="1340"/>
      <c r="FJ81" s="1340"/>
      <c r="FK81" s="1340"/>
      <c r="FL81" s="1340"/>
      <c r="FM81" s="1340"/>
      <c r="FN81" s="1340"/>
      <c r="FO81" s="1340"/>
      <c r="FP81" s="1340"/>
      <c r="FQ81" s="1340"/>
      <c r="FR81" s="1340"/>
      <c r="FS81" s="1340"/>
      <c r="FT81" s="1340"/>
      <c r="FU81" s="1340"/>
      <c r="FV81" s="1340"/>
      <c r="FW81" s="1340"/>
      <c r="FX81" s="1340"/>
      <c r="FY81" s="1340"/>
      <c r="FZ81" s="1340"/>
      <c r="GA81" s="1340"/>
      <c r="GB81" s="1340"/>
      <c r="GC81" s="1340"/>
      <c r="GD81" s="1340"/>
      <c r="GE81" s="1340"/>
      <c r="GF81" s="1340"/>
      <c r="GG81" s="1340"/>
      <c r="GH81" s="1340"/>
      <c r="GI81" s="1340"/>
      <c r="GJ81" s="1340"/>
      <c r="GK81" s="1340"/>
      <c r="GL81" s="1340"/>
      <c r="GM81" s="1340"/>
      <c r="GN81" s="1340"/>
      <c r="GO81" s="1340"/>
      <c r="GP81" s="1340"/>
      <c r="GQ81" s="1340"/>
      <c r="GR81" s="1340"/>
      <c r="GS81" s="1340"/>
      <c r="GT81" s="1340"/>
      <c r="GU81" s="1340"/>
      <c r="GV81" s="1340"/>
      <c r="GW81" s="1340"/>
      <c r="GX81" s="1340"/>
      <c r="GY81" s="1340"/>
      <c r="GZ81" s="1340"/>
      <c r="HA81" s="1340"/>
      <c r="HB81" s="1340"/>
      <c r="HC81" s="1340"/>
      <c r="HD81" s="1340"/>
      <c r="HE81" s="1340"/>
      <c r="HF81" s="1340"/>
      <c r="HG81" s="1340"/>
      <c r="HH81" s="1340"/>
      <c r="HI81" s="1340"/>
      <c r="HJ81" s="1340"/>
      <c r="HK81" s="1340"/>
      <c r="HL81" s="1340"/>
      <c r="HM81" s="1340"/>
      <c r="HN81" s="1340"/>
      <c r="HO81" s="1340"/>
      <c r="HP81" s="1340"/>
      <c r="HQ81" s="1340"/>
      <c r="HR81" s="1340"/>
      <c r="HS81" s="1340"/>
      <c r="HT81" s="1340"/>
      <c r="HU81" s="1340"/>
      <c r="HV81" s="1340"/>
      <c r="HW81" s="1340"/>
      <c r="HX81" s="1340"/>
      <c r="HY81" s="1340"/>
      <c r="HZ81" s="1340"/>
      <c r="IA81" s="1340"/>
      <c r="IB81" s="1340"/>
      <c r="IC81" s="1340"/>
      <c r="ID81" s="1340"/>
      <c r="IE81" s="1340"/>
      <c r="IF81" s="1340"/>
      <c r="IG81" s="1340"/>
      <c r="IH81" s="1340"/>
      <c r="II81" s="1340"/>
      <c r="IJ81" s="1340"/>
      <c r="IK81" s="1340"/>
      <c r="IL81" s="1340"/>
      <c r="IM81" s="1340"/>
      <c r="IN81" s="1340"/>
      <c r="IO81" s="1340"/>
      <c r="IP81" s="1340"/>
      <c r="IQ81" s="1340"/>
      <c r="IR81" s="1340"/>
      <c r="IS81" s="1340"/>
      <c r="IT81" s="1340"/>
      <c r="IU81" s="1340"/>
      <c r="IV81" s="1340"/>
    </row>
    <row r="82" spans="1:256" ht="15.75">
      <c r="A82" s="1346" t="s">
        <v>895</v>
      </c>
      <c r="B82" s="1349" t="s">
        <v>777</v>
      </c>
      <c r="C82" s="1350">
        <v>836470798</v>
      </c>
      <c r="E82" s="1340"/>
      <c r="F82" s="1340"/>
      <c r="G82" s="1340"/>
      <c r="H82" s="1340"/>
      <c r="I82" s="1340"/>
      <c r="J82" s="1340"/>
      <c r="K82" s="1340"/>
      <c r="L82" s="1340"/>
      <c r="M82" s="1340"/>
      <c r="N82" s="1340"/>
      <c r="O82" s="1340"/>
      <c r="P82" s="1340"/>
      <c r="Q82" s="1340"/>
      <c r="R82" s="1340"/>
      <c r="S82" s="1340"/>
      <c r="T82" s="1340"/>
      <c r="U82" s="1340"/>
      <c r="V82" s="1340"/>
      <c r="W82" s="1340"/>
      <c r="X82" s="1340"/>
      <c r="Y82" s="1340"/>
      <c r="Z82" s="1340"/>
      <c r="AA82" s="1340"/>
      <c r="AB82" s="1340"/>
      <c r="AC82" s="1340"/>
      <c r="AD82" s="1340"/>
      <c r="AE82" s="1340"/>
      <c r="AF82" s="1340"/>
      <c r="AG82" s="1340"/>
      <c r="AH82" s="1340"/>
      <c r="AI82" s="1340"/>
      <c r="AJ82" s="1340"/>
      <c r="AK82" s="1340"/>
      <c r="AL82" s="1340"/>
      <c r="AM82" s="1340"/>
      <c r="AN82" s="1340"/>
      <c r="AO82" s="1340"/>
      <c r="AP82" s="1340"/>
      <c r="AQ82" s="1340"/>
      <c r="AR82" s="1340"/>
      <c r="AS82" s="1340"/>
      <c r="AT82" s="1340"/>
      <c r="AU82" s="1340"/>
      <c r="AV82" s="1340"/>
      <c r="AW82" s="1340"/>
      <c r="AX82" s="1340"/>
      <c r="AY82" s="1340"/>
      <c r="AZ82" s="1340"/>
      <c r="BA82" s="1340"/>
      <c r="BB82" s="1340"/>
      <c r="BC82" s="1340"/>
      <c r="BD82" s="1340"/>
      <c r="BE82" s="1340"/>
      <c r="BF82" s="1340"/>
      <c r="BG82" s="1340"/>
      <c r="BH82" s="1340"/>
      <c r="BI82" s="1340"/>
      <c r="BJ82" s="1340"/>
      <c r="BK82" s="1340"/>
      <c r="BL82" s="1340"/>
      <c r="BM82" s="1340"/>
      <c r="BN82" s="1340"/>
      <c r="BO82" s="1340"/>
      <c r="BP82" s="1340"/>
      <c r="BQ82" s="1340"/>
      <c r="BR82" s="1340"/>
      <c r="BS82" s="1340"/>
      <c r="BT82" s="1340"/>
      <c r="BU82" s="1340"/>
      <c r="BV82" s="1340"/>
      <c r="BW82" s="1340"/>
      <c r="BX82" s="1340"/>
      <c r="BY82" s="1340"/>
      <c r="BZ82" s="1340"/>
      <c r="CA82" s="1340"/>
      <c r="CB82" s="1340"/>
      <c r="CC82" s="1340"/>
      <c r="CD82" s="1340"/>
      <c r="CE82" s="1340"/>
      <c r="CF82" s="1340"/>
      <c r="CG82" s="1340"/>
      <c r="CH82" s="1340"/>
      <c r="CI82" s="1340"/>
      <c r="CJ82" s="1340"/>
      <c r="CK82" s="1340"/>
      <c r="CL82" s="1340"/>
      <c r="CM82" s="1340"/>
      <c r="CN82" s="1340"/>
      <c r="CO82" s="1340"/>
      <c r="CP82" s="1340"/>
      <c r="CQ82" s="1340"/>
      <c r="CR82" s="1340"/>
      <c r="CS82" s="1340"/>
      <c r="CT82" s="1340"/>
      <c r="CU82" s="1340"/>
      <c r="CV82" s="1340"/>
      <c r="CW82" s="1340"/>
      <c r="CX82" s="1340"/>
      <c r="CY82" s="1340"/>
      <c r="CZ82" s="1340"/>
      <c r="DA82" s="1340"/>
      <c r="DB82" s="1340"/>
      <c r="DC82" s="1340"/>
      <c r="DD82" s="1340"/>
      <c r="DE82" s="1340"/>
      <c r="DF82" s="1340"/>
      <c r="DG82" s="1340"/>
      <c r="DH82" s="1340"/>
      <c r="DI82" s="1340"/>
      <c r="DJ82" s="1340"/>
      <c r="DK82" s="1340"/>
      <c r="DL82" s="1340"/>
      <c r="DM82" s="1340"/>
      <c r="DN82" s="1340"/>
      <c r="DO82" s="1340"/>
      <c r="DP82" s="1340"/>
      <c r="DQ82" s="1340"/>
      <c r="DR82" s="1340"/>
      <c r="DS82" s="1340"/>
      <c r="DT82" s="1340"/>
      <c r="DU82" s="1340"/>
      <c r="DV82" s="1340"/>
      <c r="DW82" s="1340"/>
      <c r="DX82" s="1340"/>
      <c r="DY82" s="1340"/>
      <c r="DZ82" s="1340"/>
      <c r="EA82" s="1340"/>
      <c r="EB82" s="1340"/>
      <c r="EC82" s="1340"/>
      <c r="ED82" s="1340"/>
      <c r="EE82" s="1340"/>
      <c r="EF82" s="1340"/>
      <c r="EG82" s="1340"/>
      <c r="EH82" s="1340"/>
      <c r="EI82" s="1340"/>
      <c r="EJ82" s="1340"/>
      <c r="EK82" s="1340"/>
      <c r="EL82" s="1340"/>
      <c r="EM82" s="1340"/>
      <c r="EN82" s="1340"/>
      <c r="EO82" s="1340"/>
      <c r="EP82" s="1340"/>
      <c r="EQ82" s="1340"/>
      <c r="ER82" s="1340"/>
      <c r="ES82" s="1340"/>
      <c r="ET82" s="1340"/>
      <c r="EU82" s="1340"/>
      <c r="EV82" s="1340"/>
      <c r="EW82" s="1340"/>
      <c r="EX82" s="1340"/>
      <c r="EY82" s="1340"/>
      <c r="EZ82" s="1340"/>
      <c r="FA82" s="1340"/>
      <c r="FB82" s="1340"/>
      <c r="FC82" s="1340"/>
      <c r="FD82" s="1340"/>
      <c r="FE82" s="1340"/>
      <c r="FF82" s="1340"/>
      <c r="FG82" s="1340"/>
      <c r="FH82" s="1340"/>
      <c r="FI82" s="1340"/>
      <c r="FJ82" s="1340"/>
      <c r="FK82" s="1340"/>
      <c r="FL82" s="1340"/>
      <c r="FM82" s="1340"/>
      <c r="FN82" s="1340"/>
      <c r="FO82" s="1340"/>
      <c r="FP82" s="1340"/>
      <c r="FQ82" s="1340"/>
      <c r="FR82" s="1340"/>
      <c r="FS82" s="1340"/>
      <c r="FT82" s="1340"/>
      <c r="FU82" s="1340"/>
      <c r="FV82" s="1340"/>
      <c r="FW82" s="1340"/>
      <c r="FX82" s="1340"/>
      <c r="FY82" s="1340"/>
      <c r="FZ82" s="1340"/>
      <c r="GA82" s="1340"/>
      <c r="GB82" s="1340"/>
      <c r="GC82" s="1340"/>
      <c r="GD82" s="1340"/>
      <c r="GE82" s="1340"/>
      <c r="GF82" s="1340"/>
      <c r="GG82" s="1340"/>
      <c r="GH82" s="1340"/>
      <c r="GI82" s="1340"/>
      <c r="GJ82" s="1340"/>
      <c r="GK82" s="1340"/>
      <c r="GL82" s="1340"/>
      <c r="GM82" s="1340"/>
      <c r="GN82" s="1340"/>
      <c r="GO82" s="1340"/>
      <c r="GP82" s="1340"/>
      <c r="GQ82" s="1340"/>
      <c r="GR82" s="1340"/>
      <c r="GS82" s="1340"/>
      <c r="GT82" s="1340"/>
      <c r="GU82" s="1340"/>
      <c r="GV82" s="1340"/>
      <c r="GW82" s="1340"/>
      <c r="GX82" s="1340"/>
      <c r="GY82" s="1340"/>
      <c r="GZ82" s="1340"/>
      <c r="HA82" s="1340"/>
      <c r="HB82" s="1340"/>
      <c r="HC82" s="1340"/>
      <c r="HD82" s="1340"/>
      <c r="HE82" s="1340"/>
      <c r="HF82" s="1340"/>
      <c r="HG82" s="1340"/>
      <c r="HH82" s="1340"/>
      <c r="HI82" s="1340"/>
      <c r="HJ82" s="1340"/>
      <c r="HK82" s="1340"/>
      <c r="HL82" s="1340"/>
      <c r="HM82" s="1340"/>
      <c r="HN82" s="1340"/>
      <c r="HO82" s="1340"/>
      <c r="HP82" s="1340"/>
      <c r="HQ82" s="1340"/>
      <c r="HR82" s="1340"/>
      <c r="HS82" s="1340"/>
      <c r="HT82" s="1340"/>
      <c r="HU82" s="1340"/>
      <c r="HV82" s="1340"/>
      <c r="HW82" s="1340"/>
      <c r="HX82" s="1340"/>
      <c r="HY82" s="1340"/>
      <c r="HZ82" s="1340"/>
      <c r="IA82" s="1340"/>
      <c r="IB82" s="1340"/>
      <c r="IC82" s="1340"/>
      <c r="ID82" s="1340"/>
      <c r="IE82" s="1340"/>
      <c r="IF82" s="1340"/>
      <c r="IG82" s="1340"/>
      <c r="IH82" s="1340"/>
      <c r="II82" s="1340"/>
      <c r="IJ82" s="1340"/>
      <c r="IK82" s="1340"/>
      <c r="IL82" s="1340"/>
      <c r="IM82" s="1340"/>
      <c r="IN82" s="1340"/>
      <c r="IO82" s="1340"/>
      <c r="IP82" s="1340"/>
      <c r="IQ82" s="1340"/>
      <c r="IR82" s="1340"/>
      <c r="IS82" s="1340"/>
      <c r="IT82" s="1340"/>
      <c r="IU82" s="1340"/>
      <c r="IV82" s="1340"/>
    </row>
    <row r="83" spans="1:256" ht="15.75">
      <c r="A83" s="1346" t="s">
        <v>896</v>
      </c>
      <c r="B83" s="1349" t="s">
        <v>779</v>
      </c>
      <c r="C83" s="1350">
        <v>0</v>
      </c>
      <c r="E83" s="1340"/>
      <c r="F83" s="1340"/>
      <c r="G83" s="1340"/>
      <c r="H83" s="1340"/>
      <c r="I83" s="1340"/>
      <c r="J83" s="1340"/>
      <c r="K83" s="1340"/>
      <c r="L83" s="1340"/>
      <c r="M83" s="1340"/>
      <c r="N83" s="1340"/>
      <c r="O83" s="1340"/>
      <c r="P83" s="1340"/>
      <c r="Q83" s="1340"/>
      <c r="R83" s="1340"/>
      <c r="S83" s="1340"/>
      <c r="T83" s="1340"/>
      <c r="U83" s="1340"/>
      <c r="V83" s="1340"/>
      <c r="W83" s="1340"/>
      <c r="X83" s="1340"/>
      <c r="Y83" s="1340"/>
      <c r="Z83" s="1340"/>
      <c r="AA83" s="1340"/>
      <c r="AB83" s="1340"/>
      <c r="AC83" s="1340"/>
      <c r="AD83" s="1340"/>
      <c r="AE83" s="1340"/>
      <c r="AF83" s="1340"/>
      <c r="AG83" s="1340"/>
      <c r="AH83" s="1340"/>
      <c r="AI83" s="1340"/>
      <c r="AJ83" s="1340"/>
      <c r="AK83" s="1340"/>
      <c r="AL83" s="1340"/>
      <c r="AM83" s="1340"/>
      <c r="AN83" s="1340"/>
      <c r="AO83" s="1340"/>
      <c r="AP83" s="1340"/>
      <c r="AQ83" s="1340"/>
      <c r="AR83" s="1340"/>
      <c r="AS83" s="1340"/>
      <c r="AT83" s="1340"/>
      <c r="AU83" s="1340"/>
      <c r="AV83" s="1340"/>
      <c r="AW83" s="1340"/>
      <c r="AX83" s="1340"/>
      <c r="AY83" s="1340"/>
      <c r="AZ83" s="1340"/>
      <c r="BA83" s="1340"/>
      <c r="BB83" s="1340"/>
      <c r="BC83" s="1340"/>
      <c r="BD83" s="1340"/>
      <c r="BE83" s="1340"/>
      <c r="BF83" s="1340"/>
      <c r="BG83" s="1340"/>
      <c r="BH83" s="1340"/>
      <c r="BI83" s="1340"/>
      <c r="BJ83" s="1340"/>
      <c r="BK83" s="1340"/>
      <c r="BL83" s="1340"/>
      <c r="BM83" s="1340"/>
      <c r="BN83" s="1340"/>
      <c r="BO83" s="1340"/>
      <c r="BP83" s="1340"/>
      <c r="BQ83" s="1340"/>
      <c r="BR83" s="1340"/>
      <c r="BS83" s="1340"/>
      <c r="BT83" s="1340"/>
      <c r="BU83" s="1340"/>
      <c r="BV83" s="1340"/>
      <c r="BW83" s="1340"/>
      <c r="BX83" s="1340"/>
      <c r="BY83" s="1340"/>
      <c r="BZ83" s="1340"/>
      <c r="CA83" s="1340"/>
      <c r="CB83" s="1340"/>
      <c r="CC83" s="1340"/>
      <c r="CD83" s="1340"/>
      <c r="CE83" s="1340"/>
      <c r="CF83" s="1340"/>
      <c r="CG83" s="1340"/>
      <c r="CH83" s="1340"/>
      <c r="CI83" s="1340"/>
      <c r="CJ83" s="1340"/>
      <c r="CK83" s="1340"/>
      <c r="CL83" s="1340"/>
      <c r="CM83" s="1340"/>
      <c r="CN83" s="1340"/>
      <c r="CO83" s="1340"/>
      <c r="CP83" s="1340"/>
      <c r="CQ83" s="1340"/>
      <c r="CR83" s="1340"/>
      <c r="CS83" s="1340"/>
      <c r="CT83" s="1340"/>
      <c r="CU83" s="1340"/>
      <c r="CV83" s="1340"/>
      <c r="CW83" s="1340"/>
      <c r="CX83" s="1340"/>
      <c r="CY83" s="1340"/>
      <c r="CZ83" s="1340"/>
      <c r="DA83" s="1340"/>
      <c r="DB83" s="1340"/>
      <c r="DC83" s="1340"/>
      <c r="DD83" s="1340"/>
      <c r="DE83" s="1340"/>
      <c r="DF83" s="1340"/>
      <c r="DG83" s="1340"/>
      <c r="DH83" s="1340"/>
      <c r="DI83" s="1340"/>
      <c r="DJ83" s="1340"/>
      <c r="DK83" s="1340"/>
      <c r="DL83" s="1340"/>
      <c r="DM83" s="1340"/>
      <c r="DN83" s="1340"/>
      <c r="DO83" s="1340"/>
      <c r="DP83" s="1340"/>
      <c r="DQ83" s="1340"/>
      <c r="DR83" s="1340"/>
      <c r="DS83" s="1340"/>
      <c r="DT83" s="1340"/>
      <c r="DU83" s="1340"/>
      <c r="DV83" s="1340"/>
      <c r="DW83" s="1340"/>
      <c r="DX83" s="1340"/>
      <c r="DY83" s="1340"/>
      <c r="DZ83" s="1340"/>
      <c r="EA83" s="1340"/>
      <c r="EB83" s="1340"/>
      <c r="EC83" s="1340"/>
      <c r="ED83" s="1340"/>
      <c r="EE83" s="1340"/>
      <c r="EF83" s="1340"/>
      <c r="EG83" s="1340"/>
      <c r="EH83" s="1340"/>
      <c r="EI83" s="1340"/>
      <c r="EJ83" s="1340"/>
      <c r="EK83" s="1340"/>
      <c r="EL83" s="1340"/>
      <c r="EM83" s="1340"/>
      <c r="EN83" s="1340"/>
      <c r="EO83" s="1340"/>
      <c r="EP83" s="1340"/>
      <c r="EQ83" s="1340"/>
      <c r="ER83" s="1340"/>
      <c r="ES83" s="1340"/>
      <c r="ET83" s="1340"/>
      <c r="EU83" s="1340"/>
      <c r="EV83" s="1340"/>
      <c r="EW83" s="1340"/>
      <c r="EX83" s="1340"/>
      <c r="EY83" s="1340"/>
      <c r="EZ83" s="1340"/>
      <c r="FA83" s="1340"/>
      <c r="FB83" s="1340"/>
      <c r="FC83" s="1340"/>
      <c r="FD83" s="1340"/>
      <c r="FE83" s="1340"/>
      <c r="FF83" s="1340"/>
      <c r="FG83" s="1340"/>
      <c r="FH83" s="1340"/>
      <c r="FI83" s="1340"/>
      <c r="FJ83" s="1340"/>
      <c r="FK83" s="1340"/>
      <c r="FL83" s="1340"/>
      <c r="FM83" s="1340"/>
      <c r="FN83" s="1340"/>
      <c r="FO83" s="1340"/>
      <c r="FP83" s="1340"/>
      <c r="FQ83" s="1340"/>
      <c r="FR83" s="1340"/>
      <c r="FS83" s="1340"/>
      <c r="FT83" s="1340"/>
      <c r="FU83" s="1340"/>
      <c r="FV83" s="1340"/>
      <c r="FW83" s="1340"/>
      <c r="FX83" s="1340"/>
      <c r="FY83" s="1340"/>
      <c r="FZ83" s="1340"/>
      <c r="GA83" s="1340"/>
      <c r="GB83" s="1340"/>
      <c r="GC83" s="1340"/>
      <c r="GD83" s="1340"/>
      <c r="GE83" s="1340"/>
      <c r="GF83" s="1340"/>
      <c r="GG83" s="1340"/>
      <c r="GH83" s="1340"/>
      <c r="GI83" s="1340"/>
      <c r="GJ83" s="1340"/>
      <c r="GK83" s="1340"/>
      <c r="GL83" s="1340"/>
      <c r="GM83" s="1340"/>
      <c r="GN83" s="1340"/>
      <c r="GO83" s="1340"/>
      <c r="GP83" s="1340"/>
      <c r="GQ83" s="1340"/>
      <c r="GR83" s="1340"/>
      <c r="GS83" s="1340"/>
      <c r="GT83" s="1340"/>
      <c r="GU83" s="1340"/>
      <c r="GV83" s="1340"/>
      <c r="GW83" s="1340"/>
      <c r="GX83" s="1340"/>
      <c r="GY83" s="1340"/>
      <c r="GZ83" s="1340"/>
      <c r="HA83" s="1340"/>
      <c r="HB83" s="1340"/>
      <c r="HC83" s="1340"/>
      <c r="HD83" s="1340"/>
      <c r="HE83" s="1340"/>
      <c r="HF83" s="1340"/>
      <c r="HG83" s="1340"/>
      <c r="HH83" s="1340"/>
      <c r="HI83" s="1340"/>
      <c r="HJ83" s="1340"/>
      <c r="HK83" s="1340"/>
      <c r="HL83" s="1340"/>
      <c r="HM83" s="1340"/>
      <c r="HN83" s="1340"/>
      <c r="HO83" s="1340"/>
      <c r="HP83" s="1340"/>
      <c r="HQ83" s="1340"/>
      <c r="HR83" s="1340"/>
      <c r="HS83" s="1340"/>
      <c r="HT83" s="1340"/>
      <c r="HU83" s="1340"/>
      <c r="HV83" s="1340"/>
      <c r="HW83" s="1340"/>
      <c r="HX83" s="1340"/>
      <c r="HY83" s="1340"/>
      <c r="HZ83" s="1340"/>
      <c r="IA83" s="1340"/>
      <c r="IB83" s="1340"/>
      <c r="IC83" s="1340"/>
      <c r="ID83" s="1340"/>
      <c r="IE83" s="1340"/>
      <c r="IF83" s="1340"/>
      <c r="IG83" s="1340"/>
      <c r="IH83" s="1340"/>
      <c r="II83" s="1340"/>
      <c r="IJ83" s="1340"/>
      <c r="IK83" s="1340"/>
      <c r="IL83" s="1340"/>
      <c r="IM83" s="1340"/>
      <c r="IN83" s="1340"/>
      <c r="IO83" s="1340"/>
      <c r="IP83" s="1340"/>
      <c r="IQ83" s="1340"/>
      <c r="IR83" s="1340"/>
      <c r="IS83" s="1340"/>
      <c r="IT83" s="1340"/>
      <c r="IU83" s="1340"/>
      <c r="IV83" s="1340"/>
    </row>
    <row r="84" spans="1:256" ht="15.75">
      <c r="A84" s="1346" t="s">
        <v>897</v>
      </c>
      <c r="B84" s="1349" t="s">
        <v>781</v>
      </c>
      <c r="C84" s="1350">
        <v>8642652</v>
      </c>
      <c r="E84" s="1340"/>
      <c r="F84" s="1340"/>
      <c r="G84" s="1340"/>
      <c r="H84" s="1340"/>
      <c r="I84" s="1340"/>
      <c r="J84" s="1340"/>
      <c r="K84" s="1340"/>
      <c r="L84" s="1340"/>
      <c r="M84" s="1340"/>
      <c r="N84" s="1340"/>
      <c r="O84" s="1340"/>
      <c r="P84" s="1340"/>
      <c r="Q84" s="1340"/>
      <c r="R84" s="1340"/>
      <c r="S84" s="1340"/>
      <c r="T84" s="1340"/>
      <c r="U84" s="1340"/>
      <c r="V84" s="1340"/>
      <c r="W84" s="1340"/>
      <c r="X84" s="1340"/>
      <c r="Y84" s="1340"/>
      <c r="Z84" s="1340"/>
      <c r="AA84" s="1340"/>
      <c r="AB84" s="1340"/>
      <c r="AC84" s="1340"/>
      <c r="AD84" s="1340"/>
      <c r="AE84" s="1340"/>
      <c r="AF84" s="1340"/>
      <c r="AG84" s="1340"/>
      <c r="AH84" s="1340"/>
      <c r="AI84" s="1340"/>
      <c r="AJ84" s="1340"/>
      <c r="AK84" s="1340"/>
      <c r="AL84" s="1340"/>
      <c r="AM84" s="1340"/>
      <c r="AN84" s="1340"/>
      <c r="AO84" s="1340"/>
      <c r="AP84" s="1340"/>
      <c r="AQ84" s="1340"/>
      <c r="AR84" s="1340"/>
      <c r="AS84" s="1340"/>
      <c r="AT84" s="1340"/>
      <c r="AU84" s="1340"/>
      <c r="AV84" s="1340"/>
      <c r="AW84" s="1340"/>
      <c r="AX84" s="1340"/>
      <c r="AY84" s="1340"/>
      <c r="AZ84" s="1340"/>
      <c r="BA84" s="1340"/>
      <c r="BB84" s="1340"/>
      <c r="BC84" s="1340"/>
      <c r="BD84" s="1340"/>
      <c r="BE84" s="1340"/>
      <c r="BF84" s="1340"/>
      <c r="BG84" s="1340"/>
      <c r="BH84" s="1340"/>
      <c r="BI84" s="1340"/>
      <c r="BJ84" s="1340"/>
      <c r="BK84" s="1340"/>
      <c r="BL84" s="1340"/>
      <c r="BM84" s="1340"/>
      <c r="BN84" s="1340"/>
      <c r="BO84" s="1340"/>
      <c r="BP84" s="1340"/>
      <c r="BQ84" s="1340"/>
      <c r="BR84" s="1340"/>
      <c r="BS84" s="1340"/>
      <c r="BT84" s="1340"/>
      <c r="BU84" s="1340"/>
      <c r="BV84" s="1340"/>
      <c r="BW84" s="1340"/>
      <c r="BX84" s="1340"/>
      <c r="BY84" s="1340"/>
      <c r="BZ84" s="1340"/>
      <c r="CA84" s="1340"/>
      <c r="CB84" s="1340"/>
      <c r="CC84" s="1340"/>
      <c r="CD84" s="1340"/>
      <c r="CE84" s="1340"/>
      <c r="CF84" s="1340"/>
      <c r="CG84" s="1340"/>
      <c r="CH84" s="1340"/>
      <c r="CI84" s="1340"/>
      <c r="CJ84" s="1340"/>
      <c r="CK84" s="1340"/>
      <c r="CL84" s="1340"/>
      <c r="CM84" s="1340"/>
      <c r="CN84" s="1340"/>
      <c r="CO84" s="1340"/>
      <c r="CP84" s="1340"/>
      <c r="CQ84" s="1340"/>
      <c r="CR84" s="1340"/>
      <c r="CS84" s="1340"/>
      <c r="CT84" s="1340"/>
      <c r="CU84" s="1340"/>
      <c r="CV84" s="1340"/>
      <c r="CW84" s="1340"/>
      <c r="CX84" s="1340"/>
      <c r="CY84" s="1340"/>
      <c r="CZ84" s="1340"/>
      <c r="DA84" s="1340"/>
      <c r="DB84" s="1340"/>
      <c r="DC84" s="1340"/>
      <c r="DD84" s="1340"/>
      <c r="DE84" s="1340"/>
      <c r="DF84" s="1340"/>
      <c r="DG84" s="1340"/>
      <c r="DH84" s="1340"/>
      <c r="DI84" s="1340"/>
      <c r="DJ84" s="1340"/>
      <c r="DK84" s="1340"/>
      <c r="DL84" s="1340"/>
      <c r="DM84" s="1340"/>
      <c r="DN84" s="1340"/>
      <c r="DO84" s="1340"/>
      <c r="DP84" s="1340"/>
      <c r="DQ84" s="1340"/>
      <c r="DR84" s="1340"/>
      <c r="DS84" s="1340"/>
      <c r="DT84" s="1340"/>
      <c r="DU84" s="1340"/>
      <c r="DV84" s="1340"/>
      <c r="DW84" s="1340"/>
      <c r="DX84" s="1340"/>
      <c r="DY84" s="1340"/>
      <c r="DZ84" s="1340"/>
      <c r="EA84" s="1340"/>
      <c r="EB84" s="1340"/>
      <c r="EC84" s="1340"/>
      <c r="ED84" s="1340"/>
      <c r="EE84" s="1340"/>
      <c r="EF84" s="1340"/>
      <c r="EG84" s="1340"/>
      <c r="EH84" s="1340"/>
      <c r="EI84" s="1340"/>
      <c r="EJ84" s="1340"/>
      <c r="EK84" s="1340"/>
      <c r="EL84" s="1340"/>
      <c r="EM84" s="1340"/>
      <c r="EN84" s="1340"/>
      <c r="EO84" s="1340"/>
      <c r="EP84" s="1340"/>
      <c r="EQ84" s="1340"/>
      <c r="ER84" s="1340"/>
      <c r="ES84" s="1340"/>
      <c r="ET84" s="1340"/>
      <c r="EU84" s="1340"/>
      <c r="EV84" s="1340"/>
      <c r="EW84" s="1340"/>
      <c r="EX84" s="1340"/>
      <c r="EY84" s="1340"/>
      <c r="EZ84" s="1340"/>
      <c r="FA84" s="1340"/>
      <c r="FB84" s="1340"/>
      <c r="FC84" s="1340"/>
      <c r="FD84" s="1340"/>
      <c r="FE84" s="1340"/>
      <c r="FF84" s="1340"/>
      <c r="FG84" s="1340"/>
      <c r="FH84" s="1340"/>
      <c r="FI84" s="1340"/>
      <c r="FJ84" s="1340"/>
      <c r="FK84" s="1340"/>
      <c r="FL84" s="1340"/>
      <c r="FM84" s="1340"/>
      <c r="FN84" s="1340"/>
      <c r="FO84" s="1340"/>
      <c r="FP84" s="1340"/>
      <c r="FQ84" s="1340"/>
      <c r="FR84" s="1340"/>
      <c r="FS84" s="1340"/>
      <c r="FT84" s="1340"/>
      <c r="FU84" s="1340"/>
      <c r="FV84" s="1340"/>
      <c r="FW84" s="1340"/>
      <c r="FX84" s="1340"/>
      <c r="FY84" s="1340"/>
      <c r="FZ84" s="1340"/>
      <c r="GA84" s="1340"/>
      <c r="GB84" s="1340"/>
      <c r="GC84" s="1340"/>
      <c r="GD84" s="1340"/>
      <c r="GE84" s="1340"/>
      <c r="GF84" s="1340"/>
      <c r="GG84" s="1340"/>
      <c r="GH84" s="1340"/>
      <c r="GI84" s="1340"/>
      <c r="GJ84" s="1340"/>
      <c r="GK84" s="1340"/>
      <c r="GL84" s="1340"/>
      <c r="GM84" s="1340"/>
      <c r="GN84" s="1340"/>
      <c r="GO84" s="1340"/>
      <c r="GP84" s="1340"/>
      <c r="GQ84" s="1340"/>
      <c r="GR84" s="1340"/>
      <c r="GS84" s="1340"/>
      <c r="GT84" s="1340"/>
      <c r="GU84" s="1340"/>
      <c r="GV84" s="1340"/>
      <c r="GW84" s="1340"/>
      <c r="GX84" s="1340"/>
      <c r="GY84" s="1340"/>
      <c r="GZ84" s="1340"/>
      <c r="HA84" s="1340"/>
      <c r="HB84" s="1340"/>
      <c r="HC84" s="1340"/>
      <c r="HD84" s="1340"/>
      <c r="HE84" s="1340"/>
      <c r="HF84" s="1340"/>
      <c r="HG84" s="1340"/>
      <c r="HH84" s="1340"/>
      <c r="HI84" s="1340"/>
      <c r="HJ84" s="1340"/>
      <c r="HK84" s="1340"/>
      <c r="HL84" s="1340"/>
      <c r="HM84" s="1340"/>
      <c r="HN84" s="1340"/>
      <c r="HO84" s="1340"/>
      <c r="HP84" s="1340"/>
      <c r="HQ84" s="1340"/>
      <c r="HR84" s="1340"/>
      <c r="HS84" s="1340"/>
      <c r="HT84" s="1340"/>
      <c r="HU84" s="1340"/>
      <c r="HV84" s="1340"/>
      <c r="HW84" s="1340"/>
      <c r="HX84" s="1340"/>
      <c r="HY84" s="1340"/>
      <c r="HZ84" s="1340"/>
      <c r="IA84" s="1340"/>
      <c r="IB84" s="1340"/>
      <c r="IC84" s="1340"/>
      <c r="ID84" s="1340"/>
      <c r="IE84" s="1340"/>
      <c r="IF84" s="1340"/>
      <c r="IG84" s="1340"/>
      <c r="IH84" s="1340"/>
      <c r="II84" s="1340"/>
      <c r="IJ84" s="1340"/>
      <c r="IK84" s="1340"/>
      <c r="IL84" s="1340"/>
      <c r="IM84" s="1340"/>
      <c r="IN84" s="1340"/>
      <c r="IO84" s="1340"/>
      <c r="IP84" s="1340"/>
      <c r="IQ84" s="1340"/>
      <c r="IR84" s="1340"/>
      <c r="IS84" s="1340"/>
      <c r="IT84" s="1340"/>
      <c r="IU84" s="1340"/>
      <c r="IV84" s="1340"/>
    </row>
    <row r="85" spans="1:256" ht="15.75">
      <c r="A85" s="1346" t="s">
        <v>898</v>
      </c>
      <c r="B85" s="1351" t="s">
        <v>783</v>
      </c>
      <c r="C85" s="1352">
        <f>SUM(C79:C84)</f>
        <v>1777787282</v>
      </c>
      <c r="E85" s="1340"/>
      <c r="F85" s="1340"/>
      <c r="G85" s="1340"/>
      <c r="H85" s="1340"/>
      <c r="I85" s="1340"/>
      <c r="J85" s="1340"/>
      <c r="K85" s="1340"/>
      <c r="L85" s="1340"/>
      <c r="M85" s="1340"/>
      <c r="N85" s="1340"/>
      <c r="O85" s="1340"/>
      <c r="P85" s="1340"/>
      <c r="Q85" s="1340"/>
      <c r="R85" s="1340"/>
      <c r="S85" s="1340"/>
      <c r="T85" s="1340"/>
      <c r="U85" s="1340"/>
      <c r="V85" s="1340"/>
      <c r="W85" s="1340"/>
      <c r="X85" s="1340"/>
      <c r="Y85" s="1340"/>
      <c r="Z85" s="1340"/>
      <c r="AA85" s="1340"/>
      <c r="AB85" s="1340"/>
      <c r="AC85" s="1340"/>
      <c r="AD85" s="1340"/>
      <c r="AE85" s="1340"/>
      <c r="AF85" s="1340"/>
      <c r="AG85" s="1340"/>
      <c r="AH85" s="1340"/>
      <c r="AI85" s="1340"/>
      <c r="AJ85" s="1340"/>
      <c r="AK85" s="1340"/>
      <c r="AL85" s="1340"/>
      <c r="AM85" s="1340"/>
      <c r="AN85" s="1340"/>
      <c r="AO85" s="1340"/>
      <c r="AP85" s="1340"/>
      <c r="AQ85" s="1340"/>
      <c r="AR85" s="1340"/>
      <c r="AS85" s="1340"/>
      <c r="AT85" s="1340"/>
      <c r="AU85" s="1340"/>
      <c r="AV85" s="1340"/>
      <c r="AW85" s="1340"/>
      <c r="AX85" s="1340"/>
      <c r="AY85" s="1340"/>
      <c r="AZ85" s="1340"/>
      <c r="BA85" s="1340"/>
      <c r="BB85" s="1340"/>
      <c r="BC85" s="1340"/>
      <c r="BD85" s="1340"/>
      <c r="BE85" s="1340"/>
      <c r="BF85" s="1340"/>
      <c r="BG85" s="1340"/>
      <c r="BH85" s="1340"/>
      <c r="BI85" s="1340"/>
      <c r="BJ85" s="1340"/>
      <c r="BK85" s="1340"/>
      <c r="BL85" s="1340"/>
      <c r="BM85" s="1340"/>
      <c r="BN85" s="1340"/>
      <c r="BO85" s="1340"/>
      <c r="BP85" s="1340"/>
      <c r="BQ85" s="1340"/>
      <c r="BR85" s="1340"/>
      <c r="BS85" s="1340"/>
      <c r="BT85" s="1340"/>
      <c r="BU85" s="1340"/>
      <c r="BV85" s="1340"/>
      <c r="BW85" s="1340"/>
      <c r="BX85" s="1340"/>
      <c r="BY85" s="1340"/>
      <c r="BZ85" s="1340"/>
      <c r="CA85" s="1340"/>
      <c r="CB85" s="1340"/>
      <c r="CC85" s="1340"/>
      <c r="CD85" s="1340"/>
      <c r="CE85" s="1340"/>
      <c r="CF85" s="1340"/>
      <c r="CG85" s="1340"/>
      <c r="CH85" s="1340"/>
      <c r="CI85" s="1340"/>
      <c r="CJ85" s="1340"/>
      <c r="CK85" s="1340"/>
      <c r="CL85" s="1340"/>
      <c r="CM85" s="1340"/>
      <c r="CN85" s="1340"/>
      <c r="CO85" s="1340"/>
      <c r="CP85" s="1340"/>
      <c r="CQ85" s="1340"/>
      <c r="CR85" s="1340"/>
      <c r="CS85" s="1340"/>
      <c r="CT85" s="1340"/>
      <c r="CU85" s="1340"/>
      <c r="CV85" s="1340"/>
      <c r="CW85" s="1340"/>
      <c r="CX85" s="1340"/>
      <c r="CY85" s="1340"/>
      <c r="CZ85" s="1340"/>
      <c r="DA85" s="1340"/>
      <c r="DB85" s="1340"/>
      <c r="DC85" s="1340"/>
      <c r="DD85" s="1340"/>
      <c r="DE85" s="1340"/>
      <c r="DF85" s="1340"/>
      <c r="DG85" s="1340"/>
      <c r="DH85" s="1340"/>
      <c r="DI85" s="1340"/>
      <c r="DJ85" s="1340"/>
      <c r="DK85" s="1340"/>
      <c r="DL85" s="1340"/>
      <c r="DM85" s="1340"/>
      <c r="DN85" s="1340"/>
      <c r="DO85" s="1340"/>
      <c r="DP85" s="1340"/>
      <c r="DQ85" s="1340"/>
      <c r="DR85" s="1340"/>
      <c r="DS85" s="1340"/>
      <c r="DT85" s="1340"/>
      <c r="DU85" s="1340"/>
      <c r="DV85" s="1340"/>
      <c r="DW85" s="1340"/>
      <c r="DX85" s="1340"/>
      <c r="DY85" s="1340"/>
      <c r="DZ85" s="1340"/>
      <c r="EA85" s="1340"/>
      <c r="EB85" s="1340"/>
      <c r="EC85" s="1340"/>
      <c r="ED85" s="1340"/>
      <c r="EE85" s="1340"/>
      <c r="EF85" s="1340"/>
      <c r="EG85" s="1340"/>
      <c r="EH85" s="1340"/>
      <c r="EI85" s="1340"/>
      <c r="EJ85" s="1340"/>
      <c r="EK85" s="1340"/>
      <c r="EL85" s="1340"/>
      <c r="EM85" s="1340"/>
      <c r="EN85" s="1340"/>
      <c r="EO85" s="1340"/>
      <c r="EP85" s="1340"/>
      <c r="EQ85" s="1340"/>
      <c r="ER85" s="1340"/>
      <c r="ES85" s="1340"/>
      <c r="ET85" s="1340"/>
      <c r="EU85" s="1340"/>
      <c r="EV85" s="1340"/>
      <c r="EW85" s="1340"/>
      <c r="EX85" s="1340"/>
      <c r="EY85" s="1340"/>
      <c r="EZ85" s="1340"/>
      <c r="FA85" s="1340"/>
      <c r="FB85" s="1340"/>
      <c r="FC85" s="1340"/>
      <c r="FD85" s="1340"/>
      <c r="FE85" s="1340"/>
      <c r="FF85" s="1340"/>
      <c r="FG85" s="1340"/>
      <c r="FH85" s="1340"/>
      <c r="FI85" s="1340"/>
      <c r="FJ85" s="1340"/>
      <c r="FK85" s="1340"/>
      <c r="FL85" s="1340"/>
      <c r="FM85" s="1340"/>
      <c r="FN85" s="1340"/>
      <c r="FO85" s="1340"/>
      <c r="FP85" s="1340"/>
      <c r="FQ85" s="1340"/>
      <c r="FR85" s="1340"/>
      <c r="FS85" s="1340"/>
      <c r="FT85" s="1340"/>
      <c r="FU85" s="1340"/>
      <c r="FV85" s="1340"/>
      <c r="FW85" s="1340"/>
      <c r="FX85" s="1340"/>
      <c r="FY85" s="1340"/>
      <c r="FZ85" s="1340"/>
      <c r="GA85" s="1340"/>
      <c r="GB85" s="1340"/>
      <c r="GC85" s="1340"/>
      <c r="GD85" s="1340"/>
      <c r="GE85" s="1340"/>
      <c r="GF85" s="1340"/>
      <c r="GG85" s="1340"/>
      <c r="GH85" s="1340"/>
      <c r="GI85" s="1340"/>
      <c r="GJ85" s="1340"/>
      <c r="GK85" s="1340"/>
      <c r="GL85" s="1340"/>
      <c r="GM85" s="1340"/>
      <c r="GN85" s="1340"/>
      <c r="GO85" s="1340"/>
      <c r="GP85" s="1340"/>
      <c r="GQ85" s="1340"/>
      <c r="GR85" s="1340"/>
      <c r="GS85" s="1340"/>
      <c r="GT85" s="1340"/>
      <c r="GU85" s="1340"/>
      <c r="GV85" s="1340"/>
      <c r="GW85" s="1340"/>
      <c r="GX85" s="1340"/>
      <c r="GY85" s="1340"/>
      <c r="GZ85" s="1340"/>
      <c r="HA85" s="1340"/>
      <c r="HB85" s="1340"/>
      <c r="HC85" s="1340"/>
      <c r="HD85" s="1340"/>
      <c r="HE85" s="1340"/>
      <c r="HF85" s="1340"/>
      <c r="HG85" s="1340"/>
      <c r="HH85" s="1340"/>
      <c r="HI85" s="1340"/>
      <c r="HJ85" s="1340"/>
      <c r="HK85" s="1340"/>
      <c r="HL85" s="1340"/>
      <c r="HM85" s="1340"/>
      <c r="HN85" s="1340"/>
      <c r="HO85" s="1340"/>
      <c r="HP85" s="1340"/>
      <c r="HQ85" s="1340"/>
      <c r="HR85" s="1340"/>
      <c r="HS85" s="1340"/>
      <c r="HT85" s="1340"/>
      <c r="HU85" s="1340"/>
      <c r="HV85" s="1340"/>
      <c r="HW85" s="1340"/>
      <c r="HX85" s="1340"/>
      <c r="HY85" s="1340"/>
      <c r="HZ85" s="1340"/>
      <c r="IA85" s="1340"/>
      <c r="IB85" s="1340"/>
      <c r="IC85" s="1340"/>
      <c r="ID85" s="1340"/>
      <c r="IE85" s="1340"/>
      <c r="IF85" s="1340"/>
      <c r="IG85" s="1340"/>
      <c r="IH85" s="1340"/>
      <c r="II85" s="1340"/>
      <c r="IJ85" s="1340"/>
      <c r="IK85" s="1340"/>
      <c r="IL85" s="1340"/>
      <c r="IM85" s="1340"/>
      <c r="IN85" s="1340"/>
      <c r="IO85" s="1340"/>
      <c r="IP85" s="1340"/>
      <c r="IQ85" s="1340"/>
      <c r="IR85" s="1340"/>
      <c r="IS85" s="1340"/>
      <c r="IT85" s="1340"/>
      <c r="IU85" s="1340"/>
      <c r="IV85" s="1340"/>
    </row>
    <row r="86" spans="1:256" ht="15.75">
      <c r="A86" s="1346" t="s">
        <v>899</v>
      </c>
      <c r="B86" s="1349" t="s">
        <v>785</v>
      </c>
      <c r="C86" s="1353">
        <v>38145</v>
      </c>
      <c r="E86" s="1340"/>
      <c r="F86" s="1340"/>
      <c r="G86" s="1340"/>
      <c r="H86" s="1340"/>
      <c r="I86" s="1340"/>
      <c r="J86" s="1340"/>
      <c r="K86" s="1340"/>
      <c r="L86" s="1340"/>
      <c r="M86" s="1340"/>
      <c r="N86" s="1340"/>
      <c r="O86" s="1340"/>
      <c r="P86" s="1340"/>
      <c r="Q86" s="1340"/>
      <c r="R86" s="1340"/>
      <c r="S86" s="1340"/>
      <c r="T86" s="1340"/>
      <c r="U86" s="1340"/>
      <c r="V86" s="1340"/>
      <c r="W86" s="1340"/>
      <c r="X86" s="1340"/>
      <c r="Y86" s="1340"/>
      <c r="Z86" s="1340"/>
      <c r="AA86" s="1340"/>
      <c r="AB86" s="1340"/>
      <c r="AC86" s="1340"/>
      <c r="AD86" s="1340"/>
      <c r="AE86" s="1340"/>
      <c r="AF86" s="1340"/>
      <c r="AG86" s="1340"/>
      <c r="AH86" s="1340"/>
      <c r="AI86" s="1340"/>
      <c r="AJ86" s="1340"/>
      <c r="AK86" s="1340"/>
      <c r="AL86" s="1340"/>
      <c r="AM86" s="1340"/>
      <c r="AN86" s="1340"/>
      <c r="AO86" s="1340"/>
      <c r="AP86" s="1340"/>
      <c r="AQ86" s="1340"/>
      <c r="AR86" s="1340"/>
      <c r="AS86" s="1340"/>
      <c r="AT86" s="1340"/>
      <c r="AU86" s="1340"/>
      <c r="AV86" s="1340"/>
      <c r="AW86" s="1340"/>
      <c r="AX86" s="1340"/>
      <c r="AY86" s="1340"/>
      <c r="AZ86" s="1340"/>
      <c r="BA86" s="1340"/>
      <c r="BB86" s="1340"/>
      <c r="BC86" s="1340"/>
      <c r="BD86" s="1340"/>
      <c r="BE86" s="1340"/>
      <c r="BF86" s="1340"/>
      <c r="BG86" s="1340"/>
      <c r="BH86" s="1340"/>
      <c r="BI86" s="1340"/>
      <c r="BJ86" s="1340"/>
      <c r="BK86" s="1340"/>
      <c r="BL86" s="1340"/>
      <c r="BM86" s="1340"/>
      <c r="BN86" s="1340"/>
      <c r="BO86" s="1340"/>
      <c r="BP86" s="1340"/>
      <c r="BQ86" s="1340"/>
      <c r="BR86" s="1340"/>
      <c r="BS86" s="1340"/>
      <c r="BT86" s="1340"/>
      <c r="BU86" s="1340"/>
      <c r="BV86" s="1340"/>
      <c r="BW86" s="1340"/>
      <c r="BX86" s="1340"/>
      <c r="BY86" s="1340"/>
      <c r="BZ86" s="1340"/>
      <c r="CA86" s="1340"/>
      <c r="CB86" s="1340"/>
      <c r="CC86" s="1340"/>
      <c r="CD86" s="1340"/>
      <c r="CE86" s="1340"/>
      <c r="CF86" s="1340"/>
      <c r="CG86" s="1340"/>
      <c r="CH86" s="1340"/>
      <c r="CI86" s="1340"/>
      <c r="CJ86" s="1340"/>
      <c r="CK86" s="1340"/>
      <c r="CL86" s="1340"/>
      <c r="CM86" s="1340"/>
      <c r="CN86" s="1340"/>
      <c r="CO86" s="1340"/>
      <c r="CP86" s="1340"/>
      <c r="CQ86" s="1340"/>
      <c r="CR86" s="1340"/>
      <c r="CS86" s="1340"/>
      <c r="CT86" s="1340"/>
      <c r="CU86" s="1340"/>
      <c r="CV86" s="1340"/>
      <c r="CW86" s="1340"/>
      <c r="CX86" s="1340"/>
      <c r="CY86" s="1340"/>
      <c r="CZ86" s="1340"/>
      <c r="DA86" s="1340"/>
      <c r="DB86" s="1340"/>
      <c r="DC86" s="1340"/>
      <c r="DD86" s="1340"/>
      <c r="DE86" s="1340"/>
      <c r="DF86" s="1340"/>
      <c r="DG86" s="1340"/>
      <c r="DH86" s="1340"/>
      <c r="DI86" s="1340"/>
      <c r="DJ86" s="1340"/>
      <c r="DK86" s="1340"/>
      <c r="DL86" s="1340"/>
      <c r="DM86" s="1340"/>
      <c r="DN86" s="1340"/>
      <c r="DO86" s="1340"/>
      <c r="DP86" s="1340"/>
      <c r="DQ86" s="1340"/>
      <c r="DR86" s="1340"/>
      <c r="DS86" s="1340"/>
      <c r="DT86" s="1340"/>
      <c r="DU86" s="1340"/>
      <c r="DV86" s="1340"/>
      <c r="DW86" s="1340"/>
      <c r="DX86" s="1340"/>
      <c r="DY86" s="1340"/>
      <c r="DZ86" s="1340"/>
      <c r="EA86" s="1340"/>
      <c r="EB86" s="1340"/>
      <c r="EC86" s="1340"/>
      <c r="ED86" s="1340"/>
      <c r="EE86" s="1340"/>
      <c r="EF86" s="1340"/>
      <c r="EG86" s="1340"/>
      <c r="EH86" s="1340"/>
      <c r="EI86" s="1340"/>
      <c r="EJ86" s="1340"/>
      <c r="EK86" s="1340"/>
      <c r="EL86" s="1340"/>
      <c r="EM86" s="1340"/>
      <c r="EN86" s="1340"/>
      <c r="EO86" s="1340"/>
      <c r="EP86" s="1340"/>
      <c r="EQ86" s="1340"/>
      <c r="ER86" s="1340"/>
      <c r="ES86" s="1340"/>
      <c r="ET86" s="1340"/>
      <c r="EU86" s="1340"/>
      <c r="EV86" s="1340"/>
      <c r="EW86" s="1340"/>
      <c r="EX86" s="1340"/>
      <c r="EY86" s="1340"/>
      <c r="EZ86" s="1340"/>
      <c r="FA86" s="1340"/>
      <c r="FB86" s="1340"/>
      <c r="FC86" s="1340"/>
      <c r="FD86" s="1340"/>
      <c r="FE86" s="1340"/>
      <c r="FF86" s="1340"/>
      <c r="FG86" s="1340"/>
      <c r="FH86" s="1340"/>
      <c r="FI86" s="1340"/>
      <c r="FJ86" s="1340"/>
      <c r="FK86" s="1340"/>
      <c r="FL86" s="1340"/>
      <c r="FM86" s="1340"/>
      <c r="FN86" s="1340"/>
      <c r="FO86" s="1340"/>
      <c r="FP86" s="1340"/>
      <c r="FQ86" s="1340"/>
      <c r="FR86" s="1340"/>
      <c r="FS86" s="1340"/>
      <c r="FT86" s="1340"/>
      <c r="FU86" s="1340"/>
      <c r="FV86" s="1340"/>
      <c r="FW86" s="1340"/>
      <c r="FX86" s="1340"/>
      <c r="FY86" s="1340"/>
      <c r="FZ86" s="1340"/>
      <c r="GA86" s="1340"/>
      <c r="GB86" s="1340"/>
      <c r="GC86" s="1340"/>
      <c r="GD86" s="1340"/>
      <c r="GE86" s="1340"/>
      <c r="GF86" s="1340"/>
      <c r="GG86" s="1340"/>
      <c r="GH86" s="1340"/>
      <c r="GI86" s="1340"/>
      <c r="GJ86" s="1340"/>
      <c r="GK86" s="1340"/>
      <c r="GL86" s="1340"/>
      <c r="GM86" s="1340"/>
      <c r="GN86" s="1340"/>
      <c r="GO86" s="1340"/>
      <c r="GP86" s="1340"/>
      <c r="GQ86" s="1340"/>
      <c r="GR86" s="1340"/>
      <c r="GS86" s="1340"/>
      <c r="GT86" s="1340"/>
      <c r="GU86" s="1340"/>
      <c r="GV86" s="1340"/>
      <c r="GW86" s="1340"/>
      <c r="GX86" s="1340"/>
      <c r="GY86" s="1340"/>
      <c r="GZ86" s="1340"/>
      <c r="HA86" s="1340"/>
      <c r="HB86" s="1340"/>
      <c r="HC86" s="1340"/>
      <c r="HD86" s="1340"/>
      <c r="HE86" s="1340"/>
      <c r="HF86" s="1340"/>
      <c r="HG86" s="1340"/>
      <c r="HH86" s="1340"/>
      <c r="HI86" s="1340"/>
      <c r="HJ86" s="1340"/>
      <c r="HK86" s="1340"/>
      <c r="HL86" s="1340"/>
      <c r="HM86" s="1340"/>
      <c r="HN86" s="1340"/>
      <c r="HO86" s="1340"/>
      <c r="HP86" s="1340"/>
      <c r="HQ86" s="1340"/>
      <c r="HR86" s="1340"/>
      <c r="HS86" s="1340"/>
      <c r="HT86" s="1340"/>
      <c r="HU86" s="1340"/>
      <c r="HV86" s="1340"/>
      <c r="HW86" s="1340"/>
      <c r="HX86" s="1340"/>
      <c r="HY86" s="1340"/>
      <c r="HZ86" s="1340"/>
      <c r="IA86" s="1340"/>
      <c r="IB86" s="1340"/>
      <c r="IC86" s="1340"/>
      <c r="ID86" s="1340"/>
      <c r="IE86" s="1340"/>
      <c r="IF86" s="1340"/>
      <c r="IG86" s="1340"/>
      <c r="IH86" s="1340"/>
      <c r="II86" s="1340"/>
      <c r="IJ86" s="1340"/>
      <c r="IK86" s="1340"/>
      <c r="IL86" s="1340"/>
      <c r="IM86" s="1340"/>
      <c r="IN86" s="1340"/>
      <c r="IO86" s="1340"/>
      <c r="IP86" s="1340"/>
      <c r="IQ86" s="1340"/>
      <c r="IR86" s="1340"/>
      <c r="IS86" s="1340"/>
      <c r="IT86" s="1340"/>
      <c r="IU86" s="1340"/>
      <c r="IV86" s="1340"/>
    </row>
    <row r="87" spans="1:256" ht="15.75">
      <c r="A87" s="1346" t="s">
        <v>900</v>
      </c>
      <c r="B87" s="1349" t="s">
        <v>787</v>
      </c>
      <c r="C87" s="1350">
        <v>13999235</v>
      </c>
      <c r="E87" s="1340"/>
      <c r="F87" s="1340"/>
      <c r="G87" s="1340"/>
      <c r="H87" s="1340"/>
      <c r="I87" s="1340"/>
      <c r="J87" s="1340"/>
      <c r="K87" s="1340"/>
      <c r="L87" s="1340"/>
      <c r="M87" s="1340"/>
      <c r="N87" s="1340"/>
      <c r="O87" s="1340"/>
      <c r="P87" s="1340"/>
      <c r="Q87" s="1340"/>
      <c r="R87" s="1340"/>
      <c r="S87" s="1340"/>
      <c r="T87" s="1340"/>
      <c r="U87" s="1340"/>
      <c r="V87" s="1340"/>
      <c r="W87" s="1340"/>
      <c r="X87" s="1340"/>
      <c r="Y87" s="1340"/>
      <c r="Z87" s="1340"/>
      <c r="AA87" s="1340"/>
      <c r="AB87" s="1340"/>
      <c r="AC87" s="1340"/>
      <c r="AD87" s="1340"/>
      <c r="AE87" s="1340"/>
      <c r="AF87" s="1340"/>
      <c r="AG87" s="1340"/>
      <c r="AH87" s="1340"/>
      <c r="AI87" s="1340"/>
      <c r="AJ87" s="1340"/>
      <c r="AK87" s="1340"/>
      <c r="AL87" s="1340"/>
      <c r="AM87" s="1340"/>
      <c r="AN87" s="1340"/>
      <c r="AO87" s="1340"/>
      <c r="AP87" s="1340"/>
      <c r="AQ87" s="1340"/>
      <c r="AR87" s="1340"/>
      <c r="AS87" s="1340"/>
      <c r="AT87" s="1340"/>
      <c r="AU87" s="1340"/>
      <c r="AV87" s="1340"/>
      <c r="AW87" s="1340"/>
      <c r="AX87" s="1340"/>
      <c r="AY87" s="1340"/>
      <c r="AZ87" s="1340"/>
      <c r="BA87" s="1340"/>
      <c r="BB87" s="1340"/>
      <c r="BC87" s="1340"/>
      <c r="BD87" s="1340"/>
      <c r="BE87" s="1340"/>
      <c r="BF87" s="1340"/>
      <c r="BG87" s="1340"/>
      <c r="BH87" s="1340"/>
      <c r="BI87" s="1340"/>
      <c r="BJ87" s="1340"/>
      <c r="BK87" s="1340"/>
      <c r="BL87" s="1340"/>
      <c r="BM87" s="1340"/>
      <c r="BN87" s="1340"/>
      <c r="BO87" s="1340"/>
      <c r="BP87" s="1340"/>
      <c r="BQ87" s="1340"/>
      <c r="BR87" s="1340"/>
      <c r="BS87" s="1340"/>
      <c r="BT87" s="1340"/>
      <c r="BU87" s="1340"/>
      <c r="BV87" s="1340"/>
      <c r="BW87" s="1340"/>
      <c r="BX87" s="1340"/>
      <c r="BY87" s="1340"/>
      <c r="BZ87" s="1340"/>
      <c r="CA87" s="1340"/>
      <c r="CB87" s="1340"/>
      <c r="CC87" s="1340"/>
      <c r="CD87" s="1340"/>
      <c r="CE87" s="1340"/>
      <c r="CF87" s="1340"/>
      <c r="CG87" s="1340"/>
      <c r="CH87" s="1340"/>
      <c r="CI87" s="1340"/>
      <c r="CJ87" s="1340"/>
      <c r="CK87" s="1340"/>
      <c r="CL87" s="1340"/>
      <c r="CM87" s="1340"/>
      <c r="CN87" s="1340"/>
      <c r="CO87" s="1340"/>
      <c r="CP87" s="1340"/>
      <c r="CQ87" s="1340"/>
      <c r="CR87" s="1340"/>
      <c r="CS87" s="1340"/>
      <c r="CT87" s="1340"/>
      <c r="CU87" s="1340"/>
      <c r="CV87" s="1340"/>
      <c r="CW87" s="1340"/>
      <c r="CX87" s="1340"/>
      <c r="CY87" s="1340"/>
      <c r="CZ87" s="1340"/>
      <c r="DA87" s="1340"/>
      <c r="DB87" s="1340"/>
      <c r="DC87" s="1340"/>
      <c r="DD87" s="1340"/>
      <c r="DE87" s="1340"/>
      <c r="DF87" s="1340"/>
      <c r="DG87" s="1340"/>
      <c r="DH87" s="1340"/>
      <c r="DI87" s="1340"/>
      <c r="DJ87" s="1340"/>
      <c r="DK87" s="1340"/>
      <c r="DL87" s="1340"/>
      <c r="DM87" s="1340"/>
      <c r="DN87" s="1340"/>
      <c r="DO87" s="1340"/>
      <c r="DP87" s="1340"/>
      <c r="DQ87" s="1340"/>
      <c r="DR87" s="1340"/>
      <c r="DS87" s="1340"/>
      <c r="DT87" s="1340"/>
      <c r="DU87" s="1340"/>
      <c r="DV87" s="1340"/>
      <c r="DW87" s="1340"/>
      <c r="DX87" s="1340"/>
      <c r="DY87" s="1340"/>
      <c r="DZ87" s="1340"/>
      <c r="EA87" s="1340"/>
      <c r="EB87" s="1340"/>
      <c r="EC87" s="1340"/>
      <c r="ED87" s="1340"/>
      <c r="EE87" s="1340"/>
      <c r="EF87" s="1340"/>
      <c r="EG87" s="1340"/>
      <c r="EH87" s="1340"/>
      <c r="EI87" s="1340"/>
      <c r="EJ87" s="1340"/>
      <c r="EK87" s="1340"/>
      <c r="EL87" s="1340"/>
      <c r="EM87" s="1340"/>
      <c r="EN87" s="1340"/>
      <c r="EO87" s="1340"/>
      <c r="EP87" s="1340"/>
      <c r="EQ87" s="1340"/>
      <c r="ER87" s="1340"/>
      <c r="ES87" s="1340"/>
      <c r="ET87" s="1340"/>
      <c r="EU87" s="1340"/>
      <c r="EV87" s="1340"/>
      <c r="EW87" s="1340"/>
      <c r="EX87" s="1340"/>
      <c r="EY87" s="1340"/>
      <c r="EZ87" s="1340"/>
      <c r="FA87" s="1340"/>
      <c r="FB87" s="1340"/>
      <c r="FC87" s="1340"/>
      <c r="FD87" s="1340"/>
      <c r="FE87" s="1340"/>
      <c r="FF87" s="1340"/>
      <c r="FG87" s="1340"/>
      <c r="FH87" s="1340"/>
      <c r="FI87" s="1340"/>
      <c r="FJ87" s="1340"/>
      <c r="FK87" s="1340"/>
      <c r="FL87" s="1340"/>
      <c r="FM87" s="1340"/>
      <c r="FN87" s="1340"/>
      <c r="FO87" s="1340"/>
      <c r="FP87" s="1340"/>
      <c r="FQ87" s="1340"/>
      <c r="FR87" s="1340"/>
      <c r="FS87" s="1340"/>
      <c r="FT87" s="1340"/>
      <c r="FU87" s="1340"/>
      <c r="FV87" s="1340"/>
      <c r="FW87" s="1340"/>
      <c r="FX87" s="1340"/>
      <c r="FY87" s="1340"/>
      <c r="FZ87" s="1340"/>
      <c r="GA87" s="1340"/>
      <c r="GB87" s="1340"/>
      <c r="GC87" s="1340"/>
      <c r="GD87" s="1340"/>
      <c r="GE87" s="1340"/>
      <c r="GF87" s="1340"/>
      <c r="GG87" s="1340"/>
      <c r="GH87" s="1340"/>
      <c r="GI87" s="1340"/>
      <c r="GJ87" s="1340"/>
      <c r="GK87" s="1340"/>
      <c r="GL87" s="1340"/>
      <c r="GM87" s="1340"/>
      <c r="GN87" s="1340"/>
      <c r="GO87" s="1340"/>
      <c r="GP87" s="1340"/>
      <c r="GQ87" s="1340"/>
      <c r="GR87" s="1340"/>
      <c r="GS87" s="1340"/>
      <c r="GT87" s="1340"/>
      <c r="GU87" s="1340"/>
      <c r="GV87" s="1340"/>
      <c r="GW87" s="1340"/>
      <c r="GX87" s="1340"/>
      <c r="GY87" s="1340"/>
      <c r="GZ87" s="1340"/>
      <c r="HA87" s="1340"/>
      <c r="HB87" s="1340"/>
      <c r="HC87" s="1340"/>
      <c r="HD87" s="1340"/>
      <c r="HE87" s="1340"/>
      <c r="HF87" s="1340"/>
      <c r="HG87" s="1340"/>
      <c r="HH87" s="1340"/>
      <c r="HI87" s="1340"/>
      <c r="HJ87" s="1340"/>
      <c r="HK87" s="1340"/>
      <c r="HL87" s="1340"/>
      <c r="HM87" s="1340"/>
      <c r="HN87" s="1340"/>
      <c r="HO87" s="1340"/>
      <c r="HP87" s="1340"/>
      <c r="HQ87" s="1340"/>
      <c r="HR87" s="1340"/>
      <c r="HS87" s="1340"/>
      <c r="HT87" s="1340"/>
      <c r="HU87" s="1340"/>
      <c r="HV87" s="1340"/>
      <c r="HW87" s="1340"/>
      <c r="HX87" s="1340"/>
      <c r="HY87" s="1340"/>
      <c r="HZ87" s="1340"/>
      <c r="IA87" s="1340"/>
      <c r="IB87" s="1340"/>
      <c r="IC87" s="1340"/>
      <c r="ID87" s="1340"/>
      <c r="IE87" s="1340"/>
      <c r="IF87" s="1340"/>
      <c r="IG87" s="1340"/>
      <c r="IH87" s="1340"/>
      <c r="II87" s="1340"/>
      <c r="IJ87" s="1340"/>
      <c r="IK87" s="1340"/>
      <c r="IL87" s="1340"/>
      <c r="IM87" s="1340"/>
      <c r="IN87" s="1340"/>
      <c r="IO87" s="1340"/>
      <c r="IP87" s="1340"/>
      <c r="IQ87" s="1340"/>
      <c r="IR87" s="1340"/>
      <c r="IS87" s="1340"/>
      <c r="IT87" s="1340"/>
      <c r="IU87" s="1340"/>
      <c r="IV87" s="1340"/>
    </row>
    <row r="88" spans="1:256" ht="15.75">
      <c r="A88" s="1346" t="s">
        <v>901</v>
      </c>
      <c r="B88" s="1349" t="s">
        <v>384</v>
      </c>
      <c r="C88" s="1350">
        <v>172952</v>
      </c>
      <c r="E88" s="1340"/>
      <c r="F88" s="1340"/>
      <c r="G88" s="1340"/>
      <c r="H88" s="1340"/>
      <c r="I88" s="1340"/>
      <c r="J88" s="1340"/>
      <c r="K88" s="1340"/>
      <c r="L88" s="1340"/>
      <c r="M88" s="1340"/>
      <c r="N88" s="1340"/>
      <c r="O88" s="1340"/>
      <c r="P88" s="1340"/>
      <c r="Q88" s="1340"/>
      <c r="R88" s="1340"/>
      <c r="S88" s="1340"/>
      <c r="T88" s="1340"/>
      <c r="U88" s="1340"/>
      <c r="V88" s="1340"/>
      <c r="W88" s="1340"/>
      <c r="X88" s="1340"/>
      <c r="Y88" s="1340"/>
      <c r="Z88" s="1340"/>
      <c r="AA88" s="1340"/>
      <c r="AB88" s="1340"/>
      <c r="AC88" s="1340"/>
      <c r="AD88" s="1340"/>
      <c r="AE88" s="1340"/>
      <c r="AF88" s="1340"/>
      <c r="AG88" s="1340"/>
      <c r="AH88" s="1340"/>
      <c r="AI88" s="1340"/>
      <c r="AJ88" s="1340"/>
      <c r="AK88" s="1340"/>
      <c r="AL88" s="1340"/>
      <c r="AM88" s="1340"/>
      <c r="AN88" s="1340"/>
      <c r="AO88" s="1340"/>
      <c r="AP88" s="1340"/>
      <c r="AQ88" s="1340"/>
      <c r="AR88" s="1340"/>
      <c r="AS88" s="1340"/>
      <c r="AT88" s="1340"/>
      <c r="AU88" s="1340"/>
      <c r="AV88" s="1340"/>
      <c r="AW88" s="1340"/>
      <c r="AX88" s="1340"/>
      <c r="AY88" s="1340"/>
      <c r="AZ88" s="1340"/>
      <c r="BA88" s="1340"/>
      <c r="BB88" s="1340"/>
      <c r="BC88" s="1340"/>
      <c r="BD88" s="1340"/>
      <c r="BE88" s="1340"/>
      <c r="BF88" s="1340"/>
      <c r="BG88" s="1340"/>
      <c r="BH88" s="1340"/>
      <c r="BI88" s="1340"/>
      <c r="BJ88" s="1340"/>
      <c r="BK88" s="1340"/>
      <c r="BL88" s="1340"/>
      <c r="BM88" s="1340"/>
      <c r="BN88" s="1340"/>
      <c r="BO88" s="1340"/>
      <c r="BP88" s="1340"/>
      <c r="BQ88" s="1340"/>
      <c r="BR88" s="1340"/>
      <c r="BS88" s="1340"/>
      <c r="BT88" s="1340"/>
      <c r="BU88" s="1340"/>
      <c r="BV88" s="1340"/>
      <c r="BW88" s="1340"/>
      <c r="BX88" s="1340"/>
      <c r="BY88" s="1340"/>
      <c r="BZ88" s="1340"/>
      <c r="CA88" s="1340"/>
      <c r="CB88" s="1340"/>
      <c r="CC88" s="1340"/>
      <c r="CD88" s="1340"/>
      <c r="CE88" s="1340"/>
      <c r="CF88" s="1340"/>
      <c r="CG88" s="1340"/>
      <c r="CH88" s="1340"/>
      <c r="CI88" s="1340"/>
      <c r="CJ88" s="1340"/>
      <c r="CK88" s="1340"/>
      <c r="CL88" s="1340"/>
      <c r="CM88" s="1340"/>
      <c r="CN88" s="1340"/>
      <c r="CO88" s="1340"/>
      <c r="CP88" s="1340"/>
      <c r="CQ88" s="1340"/>
      <c r="CR88" s="1340"/>
      <c r="CS88" s="1340"/>
      <c r="CT88" s="1340"/>
      <c r="CU88" s="1340"/>
      <c r="CV88" s="1340"/>
      <c r="CW88" s="1340"/>
      <c r="CX88" s="1340"/>
      <c r="CY88" s="1340"/>
      <c r="CZ88" s="1340"/>
      <c r="DA88" s="1340"/>
      <c r="DB88" s="1340"/>
      <c r="DC88" s="1340"/>
      <c r="DD88" s="1340"/>
      <c r="DE88" s="1340"/>
      <c r="DF88" s="1340"/>
      <c r="DG88" s="1340"/>
      <c r="DH88" s="1340"/>
      <c r="DI88" s="1340"/>
      <c r="DJ88" s="1340"/>
      <c r="DK88" s="1340"/>
      <c r="DL88" s="1340"/>
      <c r="DM88" s="1340"/>
      <c r="DN88" s="1340"/>
      <c r="DO88" s="1340"/>
      <c r="DP88" s="1340"/>
      <c r="DQ88" s="1340"/>
      <c r="DR88" s="1340"/>
      <c r="DS88" s="1340"/>
      <c r="DT88" s="1340"/>
      <c r="DU88" s="1340"/>
      <c r="DV88" s="1340"/>
      <c r="DW88" s="1340"/>
      <c r="DX88" s="1340"/>
      <c r="DY88" s="1340"/>
      <c r="DZ88" s="1340"/>
      <c r="EA88" s="1340"/>
      <c r="EB88" s="1340"/>
      <c r="EC88" s="1340"/>
      <c r="ED88" s="1340"/>
      <c r="EE88" s="1340"/>
      <c r="EF88" s="1340"/>
      <c r="EG88" s="1340"/>
      <c r="EH88" s="1340"/>
      <c r="EI88" s="1340"/>
      <c r="EJ88" s="1340"/>
      <c r="EK88" s="1340"/>
      <c r="EL88" s="1340"/>
      <c r="EM88" s="1340"/>
      <c r="EN88" s="1340"/>
      <c r="EO88" s="1340"/>
      <c r="EP88" s="1340"/>
      <c r="EQ88" s="1340"/>
      <c r="ER88" s="1340"/>
      <c r="ES88" s="1340"/>
      <c r="ET88" s="1340"/>
      <c r="EU88" s="1340"/>
      <c r="EV88" s="1340"/>
      <c r="EW88" s="1340"/>
      <c r="EX88" s="1340"/>
      <c r="EY88" s="1340"/>
      <c r="EZ88" s="1340"/>
      <c r="FA88" s="1340"/>
      <c r="FB88" s="1340"/>
      <c r="FC88" s="1340"/>
      <c r="FD88" s="1340"/>
      <c r="FE88" s="1340"/>
      <c r="FF88" s="1340"/>
      <c r="FG88" s="1340"/>
      <c r="FH88" s="1340"/>
      <c r="FI88" s="1340"/>
      <c r="FJ88" s="1340"/>
      <c r="FK88" s="1340"/>
      <c r="FL88" s="1340"/>
      <c r="FM88" s="1340"/>
      <c r="FN88" s="1340"/>
      <c r="FO88" s="1340"/>
      <c r="FP88" s="1340"/>
      <c r="FQ88" s="1340"/>
      <c r="FR88" s="1340"/>
      <c r="FS88" s="1340"/>
      <c r="FT88" s="1340"/>
      <c r="FU88" s="1340"/>
      <c r="FV88" s="1340"/>
      <c r="FW88" s="1340"/>
      <c r="FX88" s="1340"/>
      <c r="FY88" s="1340"/>
      <c r="FZ88" s="1340"/>
      <c r="GA88" s="1340"/>
      <c r="GB88" s="1340"/>
      <c r="GC88" s="1340"/>
      <c r="GD88" s="1340"/>
      <c r="GE88" s="1340"/>
      <c r="GF88" s="1340"/>
      <c r="GG88" s="1340"/>
      <c r="GH88" s="1340"/>
      <c r="GI88" s="1340"/>
      <c r="GJ88" s="1340"/>
      <c r="GK88" s="1340"/>
      <c r="GL88" s="1340"/>
      <c r="GM88" s="1340"/>
      <c r="GN88" s="1340"/>
      <c r="GO88" s="1340"/>
      <c r="GP88" s="1340"/>
      <c r="GQ88" s="1340"/>
      <c r="GR88" s="1340"/>
      <c r="GS88" s="1340"/>
      <c r="GT88" s="1340"/>
      <c r="GU88" s="1340"/>
      <c r="GV88" s="1340"/>
      <c r="GW88" s="1340"/>
      <c r="GX88" s="1340"/>
      <c r="GY88" s="1340"/>
      <c r="GZ88" s="1340"/>
      <c r="HA88" s="1340"/>
      <c r="HB88" s="1340"/>
      <c r="HC88" s="1340"/>
      <c r="HD88" s="1340"/>
      <c r="HE88" s="1340"/>
      <c r="HF88" s="1340"/>
      <c r="HG88" s="1340"/>
      <c r="HH88" s="1340"/>
      <c r="HI88" s="1340"/>
      <c r="HJ88" s="1340"/>
      <c r="HK88" s="1340"/>
      <c r="HL88" s="1340"/>
      <c r="HM88" s="1340"/>
      <c r="HN88" s="1340"/>
      <c r="HO88" s="1340"/>
      <c r="HP88" s="1340"/>
      <c r="HQ88" s="1340"/>
      <c r="HR88" s="1340"/>
      <c r="HS88" s="1340"/>
      <c r="HT88" s="1340"/>
      <c r="HU88" s="1340"/>
      <c r="HV88" s="1340"/>
      <c r="HW88" s="1340"/>
      <c r="HX88" s="1340"/>
      <c r="HY88" s="1340"/>
      <c r="HZ88" s="1340"/>
      <c r="IA88" s="1340"/>
      <c r="IB88" s="1340"/>
      <c r="IC88" s="1340"/>
      <c r="ID88" s="1340"/>
      <c r="IE88" s="1340"/>
      <c r="IF88" s="1340"/>
      <c r="IG88" s="1340"/>
      <c r="IH88" s="1340"/>
      <c r="II88" s="1340"/>
      <c r="IJ88" s="1340"/>
      <c r="IK88" s="1340"/>
      <c r="IL88" s="1340"/>
      <c r="IM88" s="1340"/>
      <c r="IN88" s="1340"/>
      <c r="IO88" s="1340"/>
      <c r="IP88" s="1340"/>
      <c r="IQ88" s="1340"/>
      <c r="IR88" s="1340"/>
      <c r="IS88" s="1340"/>
      <c r="IT88" s="1340"/>
      <c r="IU88" s="1340"/>
      <c r="IV88" s="1340"/>
    </row>
    <row r="89" spans="1:256" ht="15.75">
      <c r="A89" s="1346" t="s">
        <v>902</v>
      </c>
      <c r="B89" s="1351" t="s">
        <v>404</v>
      </c>
      <c r="C89" s="1352">
        <f>C86+C87+C88</f>
        <v>14210332</v>
      </c>
      <c r="E89" s="1340"/>
      <c r="F89" s="1340"/>
      <c r="G89" s="1340"/>
      <c r="H89" s="1340"/>
      <c r="I89" s="1340"/>
      <c r="J89" s="1340"/>
      <c r="K89" s="1340"/>
      <c r="L89" s="1340"/>
      <c r="M89" s="1340"/>
      <c r="N89" s="1340"/>
      <c r="O89" s="1340"/>
      <c r="P89" s="1340"/>
      <c r="Q89" s="1340"/>
      <c r="R89" s="1340"/>
      <c r="S89" s="1340"/>
      <c r="T89" s="1340"/>
      <c r="U89" s="1340"/>
      <c r="V89" s="1340"/>
      <c r="W89" s="1340"/>
      <c r="X89" s="1340"/>
      <c r="Y89" s="1340"/>
      <c r="Z89" s="1340"/>
      <c r="AA89" s="1340"/>
      <c r="AB89" s="1340"/>
      <c r="AC89" s="1340"/>
      <c r="AD89" s="1340"/>
      <c r="AE89" s="1340"/>
      <c r="AF89" s="1340"/>
      <c r="AG89" s="1340"/>
      <c r="AH89" s="1340"/>
      <c r="AI89" s="1340"/>
      <c r="AJ89" s="1340"/>
      <c r="AK89" s="1340"/>
      <c r="AL89" s="1340"/>
      <c r="AM89" s="1340"/>
      <c r="AN89" s="1340"/>
      <c r="AO89" s="1340"/>
      <c r="AP89" s="1340"/>
      <c r="AQ89" s="1340"/>
      <c r="AR89" s="1340"/>
      <c r="AS89" s="1340"/>
      <c r="AT89" s="1340"/>
      <c r="AU89" s="1340"/>
      <c r="AV89" s="1340"/>
      <c r="AW89" s="1340"/>
      <c r="AX89" s="1340"/>
      <c r="AY89" s="1340"/>
      <c r="AZ89" s="1340"/>
      <c r="BA89" s="1340"/>
      <c r="BB89" s="1340"/>
      <c r="BC89" s="1340"/>
      <c r="BD89" s="1340"/>
      <c r="BE89" s="1340"/>
      <c r="BF89" s="1340"/>
      <c r="BG89" s="1340"/>
      <c r="BH89" s="1340"/>
      <c r="BI89" s="1340"/>
      <c r="BJ89" s="1340"/>
      <c r="BK89" s="1340"/>
      <c r="BL89" s="1340"/>
      <c r="BM89" s="1340"/>
      <c r="BN89" s="1340"/>
      <c r="BO89" s="1340"/>
      <c r="BP89" s="1340"/>
      <c r="BQ89" s="1340"/>
      <c r="BR89" s="1340"/>
      <c r="BS89" s="1340"/>
      <c r="BT89" s="1340"/>
      <c r="BU89" s="1340"/>
      <c r="BV89" s="1340"/>
      <c r="BW89" s="1340"/>
      <c r="BX89" s="1340"/>
      <c r="BY89" s="1340"/>
      <c r="BZ89" s="1340"/>
      <c r="CA89" s="1340"/>
      <c r="CB89" s="1340"/>
      <c r="CC89" s="1340"/>
      <c r="CD89" s="1340"/>
      <c r="CE89" s="1340"/>
      <c r="CF89" s="1340"/>
      <c r="CG89" s="1340"/>
      <c r="CH89" s="1340"/>
      <c r="CI89" s="1340"/>
      <c r="CJ89" s="1340"/>
      <c r="CK89" s="1340"/>
      <c r="CL89" s="1340"/>
      <c r="CM89" s="1340"/>
      <c r="CN89" s="1340"/>
      <c r="CO89" s="1340"/>
      <c r="CP89" s="1340"/>
      <c r="CQ89" s="1340"/>
      <c r="CR89" s="1340"/>
      <c r="CS89" s="1340"/>
      <c r="CT89" s="1340"/>
      <c r="CU89" s="1340"/>
      <c r="CV89" s="1340"/>
      <c r="CW89" s="1340"/>
      <c r="CX89" s="1340"/>
      <c r="CY89" s="1340"/>
      <c r="CZ89" s="1340"/>
      <c r="DA89" s="1340"/>
      <c r="DB89" s="1340"/>
      <c r="DC89" s="1340"/>
      <c r="DD89" s="1340"/>
      <c r="DE89" s="1340"/>
      <c r="DF89" s="1340"/>
      <c r="DG89" s="1340"/>
      <c r="DH89" s="1340"/>
      <c r="DI89" s="1340"/>
      <c r="DJ89" s="1340"/>
      <c r="DK89" s="1340"/>
      <c r="DL89" s="1340"/>
      <c r="DM89" s="1340"/>
      <c r="DN89" s="1340"/>
      <c r="DO89" s="1340"/>
      <c r="DP89" s="1340"/>
      <c r="DQ89" s="1340"/>
      <c r="DR89" s="1340"/>
      <c r="DS89" s="1340"/>
      <c r="DT89" s="1340"/>
      <c r="DU89" s="1340"/>
      <c r="DV89" s="1340"/>
      <c r="DW89" s="1340"/>
      <c r="DX89" s="1340"/>
      <c r="DY89" s="1340"/>
      <c r="DZ89" s="1340"/>
      <c r="EA89" s="1340"/>
      <c r="EB89" s="1340"/>
      <c r="EC89" s="1340"/>
      <c r="ED89" s="1340"/>
      <c r="EE89" s="1340"/>
      <c r="EF89" s="1340"/>
      <c r="EG89" s="1340"/>
      <c r="EH89" s="1340"/>
      <c r="EI89" s="1340"/>
      <c r="EJ89" s="1340"/>
      <c r="EK89" s="1340"/>
      <c r="EL89" s="1340"/>
      <c r="EM89" s="1340"/>
      <c r="EN89" s="1340"/>
      <c r="EO89" s="1340"/>
      <c r="EP89" s="1340"/>
      <c r="EQ89" s="1340"/>
      <c r="ER89" s="1340"/>
      <c r="ES89" s="1340"/>
      <c r="ET89" s="1340"/>
      <c r="EU89" s="1340"/>
      <c r="EV89" s="1340"/>
      <c r="EW89" s="1340"/>
      <c r="EX89" s="1340"/>
      <c r="EY89" s="1340"/>
      <c r="EZ89" s="1340"/>
      <c r="FA89" s="1340"/>
      <c r="FB89" s="1340"/>
      <c r="FC89" s="1340"/>
      <c r="FD89" s="1340"/>
      <c r="FE89" s="1340"/>
      <c r="FF89" s="1340"/>
      <c r="FG89" s="1340"/>
      <c r="FH89" s="1340"/>
      <c r="FI89" s="1340"/>
      <c r="FJ89" s="1340"/>
      <c r="FK89" s="1340"/>
      <c r="FL89" s="1340"/>
      <c r="FM89" s="1340"/>
      <c r="FN89" s="1340"/>
      <c r="FO89" s="1340"/>
      <c r="FP89" s="1340"/>
      <c r="FQ89" s="1340"/>
      <c r="FR89" s="1340"/>
      <c r="FS89" s="1340"/>
      <c r="FT89" s="1340"/>
      <c r="FU89" s="1340"/>
      <c r="FV89" s="1340"/>
      <c r="FW89" s="1340"/>
      <c r="FX89" s="1340"/>
      <c r="FY89" s="1340"/>
      <c r="FZ89" s="1340"/>
      <c r="GA89" s="1340"/>
      <c r="GB89" s="1340"/>
      <c r="GC89" s="1340"/>
      <c r="GD89" s="1340"/>
      <c r="GE89" s="1340"/>
      <c r="GF89" s="1340"/>
      <c r="GG89" s="1340"/>
      <c r="GH89" s="1340"/>
      <c r="GI89" s="1340"/>
      <c r="GJ89" s="1340"/>
      <c r="GK89" s="1340"/>
      <c r="GL89" s="1340"/>
      <c r="GM89" s="1340"/>
      <c r="GN89" s="1340"/>
      <c r="GO89" s="1340"/>
      <c r="GP89" s="1340"/>
      <c r="GQ89" s="1340"/>
      <c r="GR89" s="1340"/>
      <c r="GS89" s="1340"/>
      <c r="GT89" s="1340"/>
      <c r="GU89" s="1340"/>
      <c r="GV89" s="1340"/>
      <c r="GW89" s="1340"/>
      <c r="GX89" s="1340"/>
      <c r="GY89" s="1340"/>
      <c r="GZ89" s="1340"/>
      <c r="HA89" s="1340"/>
      <c r="HB89" s="1340"/>
      <c r="HC89" s="1340"/>
      <c r="HD89" s="1340"/>
      <c r="HE89" s="1340"/>
      <c r="HF89" s="1340"/>
      <c r="HG89" s="1340"/>
      <c r="HH89" s="1340"/>
      <c r="HI89" s="1340"/>
      <c r="HJ89" s="1340"/>
      <c r="HK89" s="1340"/>
      <c r="HL89" s="1340"/>
      <c r="HM89" s="1340"/>
      <c r="HN89" s="1340"/>
      <c r="HO89" s="1340"/>
      <c r="HP89" s="1340"/>
      <c r="HQ89" s="1340"/>
      <c r="HR89" s="1340"/>
      <c r="HS89" s="1340"/>
      <c r="HT89" s="1340"/>
      <c r="HU89" s="1340"/>
      <c r="HV89" s="1340"/>
      <c r="HW89" s="1340"/>
      <c r="HX89" s="1340"/>
      <c r="HY89" s="1340"/>
      <c r="HZ89" s="1340"/>
      <c r="IA89" s="1340"/>
      <c r="IB89" s="1340"/>
      <c r="IC89" s="1340"/>
      <c r="ID89" s="1340"/>
      <c r="IE89" s="1340"/>
      <c r="IF89" s="1340"/>
      <c r="IG89" s="1340"/>
      <c r="IH89" s="1340"/>
      <c r="II89" s="1340"/>
      <c r="IJ89" s="1340"/>
      <c r="IK89" s="1340"/>
      <c r="IL89" s="1340"/>
      <c r="IM89" s="1340"/>
      <c r="IN89" s="1340"/>
      <c r="IO89" s="1340"/>
      <c r="IP89" s="1340"/>
      <c r="IQ89" s="1340"/>
      <c r="IR89" s="1340"/>
      <c r="IS89" s="1340"/>
      <c r="IT89" s="1340"/>
      <c r="IU89" s="1340"/>
      <c r="IV89" s="1340"/>
    </row>
    <row r="90" spans="1:256" ht="15.75">
      <c r="A90" s="1346" t="s">
        <v>903</v>
      </c>
      <c r="B90" s="1351" t="s">
        <v>405</v>
      </c>
      <c r="C90" s="1350"/>
      <c r="E90" s="1340"/>
      <c r="F90" s="1340"/>
      <c r="G90" s="1340"/>
      <c r="H90" s="1340"/>
      <c r="I90" s="1340"/>
      <c r="J90" s="1340"/>
      <c r="K90" s="1340"/>
      <c r="L90" s="1340"/>
      <c r="M90" s="1340"/>
      <c r="N90" s="1340"/>
      <c r="O90" s="1340"/>
      <c r="P90" s="1340"/>
      <c r="Q90" s="1340"/>
      <c r="R90" s="1340"/>
      <c r="S90" s="1340"/>
      <c r="T90" s="1340"/>
      <c r="U90" s="1340"/>
      <c r="V90" s="1340"/>
      <c r="W90" s="1340"/>
      <c r="X90" s="1340"/>
      <c r="Y90" s="1340"/>
      <c r="Z90" s="1340"/>
      <c r="AA90" s="1340"/>
      <c r="AB90" s="1340"/>
      <c r="AC90" s="1340"/>
      <c r="AD90" s="1340"/>
      <c r="AE90" s="1340"/>
      <c r="AF90" s="1340"/>
      <c r="AG90" s="1340"/>
      <c r="AH90" s="1340"/>
      <c r="AI90" s="1340"/>
      <c r="AJ90" s="1340"/>
      <c r="AK90" s="1340"/>
      <c r="AL90" s="1340"/>
      <c r="AM90" s="1340"/>
      <c r="AN90" s="1340"/>
      <c r="AO90" s="1340"/>
      <c r="AP90" s="1340"/>
      <c r="AQ90" s="1340"/>
      <c r="AR90" s="1340"/>
      <c r="AS90" s="1340"/>
      <c r="AT90" s="1340"/>
      <c r="AU90" s="1340"/>
      <c r="AV90" s="1340"/>
      <c r="AW90" s="1340"/>
      <c r="AX90" s="1340"/>
      <c r="AY90" s="1340"/>
      <c r="AZ90" s="1340"/>
      <c r="BA90" s="1340"/>
      <c r="BB90" s="1340"/>
      <c r="BC90" s="1340"/>
      <c r="BD90" s="1340"/>
      <c r="BE90" s="1340"/>
      <c r="BF90" s="1340"/>
      <c r="BG90" s="1340"/>
      <c r="BH90" s="1340"/>
      <c r="BI90" s="1340"/>
      <c r="BJ90" s="1340"/>
      <c r="BK90" s="1340"/>
      <c r="BL90" s="1340"/>
      <c r="BM90" s="1340"/>
      <c r="BN90" s="1340"/>
      <c r="BO90" s="1340"/>
      <c r="BP90" s="1340"/>
      <c r="BQ90" s="1340"/>
      <c r="BR90" s="1340"/>
      <c r="BS90" s="1340"/>
      <c r="BT90" s="1340"/>
      <c r="BU90" s="1340"/>
      <c r="BV90" s="1340"/>
      <c r="BW90" s="1340"/>
      <c r="BX90" s="1340"/>
      <c r="BY90" s="1340"/>
      <c r="BZ90" s="1340"/>
      <c r="CA90" s="1340"/>
      <c r="CB90" s="1340"/>
      <c r="CC90" s="1340"/>
      <c r="CD90" s="1340"/>
      <c r="CE90" s="1340"/>
      <c r="CF90" s="1340"/>
      <c r="CG90" s="1340"/>
      <c r="CH90" s="1340"/>
      <c r="CI90" s="1340"/>
      <c r="CJ90" s="1340"/>
      <c r="CK90" s="1340"/>
      <c r="CL90" s="1340"/>
      <c r="CM90" s="1340"/>
      <c r="CN90" s="1340"/>
      <c r="CO90" s="1340"/>
      <c r="CP90" s="1340"/>
      <c r="CQ90" s="1340"/>
      <c r="CR90" s="1340"/>
      <c r="CS90" s="1340"/>
      <c r="CT90" s="1340"/>
      <c r="CU90" s="1340"/>
      <c r="CV90" s="1340"/>
      <c r="CW90" s="1340"/>
      <c r="CX90" s="1340"/>
      <c r="CY90" s="1340"/>
      <c r="CZ90" s="1340"/>
      <c r="DA90" s="1340"/>
      <c r="DB90" s="1340"/>
      <c r="DC90" s="1340"/>
      <c r="DD90" s="1340"/>
      <c r="DE90" s="1340"/>
      <c r="DF90" s="1340"/>
      <c r="DG90" s="1340"/>
      <c r="DH90" s="1340"/>
      <c r="DI90" s="1340"/>
      <c r="DJ90" s="1340"/>
      <c r="DK90" s="1340"/>
      <c r="DL90" s="1340"/>
      <c r="DM90" s="1340"/>
      <c r="DN90" s="1340"/>
      <c r="DO90" s="1340"/>
      <c r="DP90" s="1340"/>
      <c r="DQ90" s="1340"/>
      <c r="DR90" s="1340"/>
      <c r="DS90" s="1340"/>
      <c r="DT90" s="1340"/>
      <c r="DU90" s="1340"/>
      <c r="DV90" s="1340"/>
      <c r="DW90" s="1340"/>
      <c r="DX90" s="1340"/>
      <c r="DY90" s="1340"/>
      <c r="DZ90" s="1340"/>
      <c r="EA90" s="1340"/>
      <c r="EB90" s="1340"/>
      <c r="EC90" s="1340"/>
      <c r="ED90" s="1340"/>
      <c r="EE90" s="1340"/>
      <c r="EF90" s="1340"/>
      <c r="EG90" s="1340"/>
      <c r="EH90" s="1340"/>
      <c r="EI90" s="1340"/>
      <c r="EJ90" s="1340"/>
      <c r="EK90" s="1340"/>
      <c r="EL90" s="1340"/>
      <c r="EM90" s="1340"/>
      <c r="EN90" s="1340"/>
      <c r="EO90" s="1340"/>
      <c r="EP90" s="1340"/>
      <c r="EQ90" s="1340"/>
      <c r="ER90" s="1340"/>
      <c r="ES90" s="1340"/>
      <c r="ET90" s="1340"/>
      <c r="EU90" s="1340"/>
      <c r="EV90" s="1340"/>
      <c r="EW90" s="1340"/>
      <c r="EX90" s="1340"/>
      <c r="EY90" s="1340"/>
      <c r="EZ90" s="1340"/>
      <c r="FA90" s="1340"/>
      <c r="FB90" s="1340"/>
      <c r="FC90" s="1340"/>
      <c r="FD90" s="1340"/>
      <c r="FE90" s="1340"/>
      <c r="FF90" s="1340"/>
      <c r="FG90" s="1340"/>
      <c r="FH90" s="1340"/>
      <c r="FI90" s="1340"/>
      <c r="FJ90" s="1340"/>
      <c r="FK90" s="1340"/>
      <c r="FL90" s="1340"/>
      <c r="FM90" s="1340"/>
      <c r="FN90" s="1340"/>
      <c r="FO90" s="1340"/>
      <c r="FP90" s="1340"/>
      <c r="FQ90" s="1340"/>
      <c r="FR90" s="1340"/>
      <c r="FS90" s="1340"/>
      <c r="FT90" s="1340"/>
      <c r="FU90" s="1340"/>
      <c r="FV90" s="1340"/>
      <c r="FW90" s="1340"/>
      <c r="FX90" s="1340"/>
      <c r="FY90" s="1340"/>
      <c r="FZ90" s="1340"/>
      <c r="GA90" s="1340"/>
      <c r="GB90" s="1340"/>
      <c r="GC90" s="1340"/>
      <c r="GD90" s="1340"/>
      <c r="GE90" s="1340"/>
      <c r="GF90" s="1340"/>
      <c r="GG90" s="1340"/>
      <c r="GH90" s="1340"/>
      <c r="GI90" s="1340"/>
      <c r="GJ90" s="1340"/>
      <c r="GK90" s="1340"/>
      <c r="GL90" s="1340"/>
      <c r="GM90" s="1340"/>
      <c r="GN90" s="1340"/>
      <c r="GO90" s="1340"/>
      <c r="GP90" s="1340"/>
      <c r="GQ90" s="1340"/>
      <c r="GR90" s="1340"/>
      <c r="GS90" s="1340"/>
      <c r="GT90" s="1340"/>
      <c r="GU90" s="1340"/>
      <c r="GV90" s="1340"/>
      <c r="GW90" s="1340"/>
      <c r="GX90" s="1340"/>
      <c r="GY90" s="1340"/>
      <c r="GZ90" s="1340"/>
      <c r="HA90" s="1340"/>
      <c r="HB90" s="1340"/>
      <c r="HC90" s="1340"/>
      <c r="HD90" s="1340"/>
      <c r="HE90" s="1340"/>
      <c r="HF90" s="1340"/>
      <c r="HG90" s="1340"/>
      <c r="HH90" s="1340"/>
      <c r="HI90" s="1340"/>
      <c r="HJ90" s="1340"/>
      <c r="HK90" s="1340"/>
      <c r="HL90" s="1340"/>
      <c r="HM90" s="1340"/>
      <c r="HN90" s="1340"/>
      <c r="HO90" s="1340"/>
      <c r="HP90" s="1340"/>
      <c r="HQ90" s="1340"/>
      <c r="HR90" s="1340"/>
      <c r="HS90" s="1340"/>
      <c r="HT90" s="1340"/>
      <c r="HU90" s="1340"/>
      <c r="HV90" s="1340"/>
      <c r="HW90" s="1340"/>
      <c r="HX90" s="1340"/>
      <c r="HY90" s="1340"/>
      <c r="HZ90" s="1340"/>
      <c r="IA90" s="1340"/>
      <c r="IB90" s="1340"/>
      <c r="IC90" s="1340"/>
      <c r="ID90" s="1340"/>
      <c r="IE90" s="1340"/>
      <c r="IF90" s="1340"/>
      <c r="IG90" s="1340"/>
      <c r="IH90" s="1340"/>
      <c r="II90" s="1340"/>
      <c r="IJ90" s="1340"/>
      <c r="IK90" s="1340"/>
      <c r="IL90" s="1340"/>
      <c r="IM90" s="1340"/>
      <c r="IN90" s="1340"/>
      <c r="IO90" s="1340"/>
      <c r="IP90" s="1340"/>
      <c r="IQ90" s="1340"/>
      <c r="IR90" s="1340"/>
      <c r="IS90" s="1340"/>
      <c r="IT90" s="1340"/>
      <c r="IU90" s="1340"/>
      <c r="IV90" s="1340"/>
    </row>
    <row r="91" spans="1:256" ht="15.75">
      <c r="A91" s="1346" t="s">
        <v>904</v>
      </c>
      <c r="B91" s="1351" t="s">
        <v>407</v>
      </c>
      <c r="C91" s="1354">
        <v>169238142</v>
      </c>
      <c r="E91" s="1340"/>
      <c r="F91" s="1340"/>
      <c r="G91" s="1340"/>
      <c r="H91" s="1340"/>
      <c r="I91" s="1340"/>
      <c r="J91" s="1340"/>
      <c r="K91" s="1340"/>
      <c r="L91" s="1340"/>
      <c r="M91" s="1340"/>
      <c r="N91" s="1340"/>
      <c r="O91" s="1340"/>
      <c r="P91" s="1340"/>
      <c r="Q91" s="1340"/>
      <c r="R91" s="1340"/>
      <c r="S91" s="1340"/>
      <c r="T91" s="1340"/>
      <c r="U91" s="1340"/>
      <c r="V91" s="1340"/>
      <c r="W91" s="1340"/>
      <c r="X91" s="1340"/>
      <c r="Y91" s="1340"/>
      <c r="Z91" s="1340"/>
      <c r="AA91" s="1340"/>
      <c r="AB91" s="1340"/>
      <c r="AC91" s="1340"/>
      <c r="AD91" s="1340"/>
      <c r="AE91" s="1340"/>
      <c r="AF91" s="1340"/>
      <c r="AG91" s="1340"/>
      <c r="AH91" s="1340"/>
      <c r="AI91" s="1340"/>
      <c r="AJ91" s="1340"/>
      <c r="AK91" s="1340"/>
      <c r="AL91" s="1340"/>
      <c r="AM91" s="1340"/>
      <c r="AN91" s="1340"/>
      <c r="AO91" s="1340"/>
      <c r="AP91" s="1340"/>
      <c r="AQ91" s="1340"/>
      <c r="AR91" s="1340"/>
      <c r="AS91" s="1340"/>
      <c r="AT91" s="1340"/>
      <c r="AU91" s="1340"/>
      <c r="AV91" s="1340"/>
      <c r="AW91" s="1340"/>
      <c r="AX91" s="1340"/>
      <c r="AY91" s="1340"/>
      <c r="AZ91" s="1340"/>
      <c r="BA91" s="1340"/>
      <c r="BB91" s="1340"/>
      <c r="BC91" s="1340"/>
      <c r="BD91" s="1340"/>
      <c r="BE91" s="1340"/>
      <c r="BF91" s="1340"/>
      <c r="BG91" s="1340"/>
      <c r="BH91" s="1340"/>
      <c r="BI91" s="1340"/>
      <c r="BJ91" s="1340"/>
      <c r="BK91" s="1340"/>
      <c r="BL91" s="1340"/>
      <c r="BM91" s="1340"/>
      <c r="BN91" s="1340"/>
      <c r="BO91" s="1340"/>
      <c r="BP91" s="1340"/>
      <c r="BQ91" s="1340"/>
      <c r="BR91" s="1340"/>
      <c r="BS91" s="1340"/>
      <c r="BT91" s="1340"/>
      <c r="BU91" s="1340"/>
      <c r="BV91" s="1340"/>
      <c r="BW91" s="1340"/>
      <c r="BX91" s="1340"/>
      <c r="BY91" s="1340"/>
      <c r="BZ91" s="1340"/>
      <c r="CA91" s="1340"/>
      <c r="CB91" s="1340"/>
      <c r="CC91" s="1340"/>
      <c r="CD91" s="1340"/>
      <c r="CE91" s="1340"/>
      <c r="CF91" s="1340"/>
      <c r="CG91" s="1340"/>
      <c r="CH91" s="1340"/>
      <c r="CI91" s="1340"/>
      <c r="CJ91" s="1340"/>
      <c r="CK91" s="1340"/>
      <c r="CL91" s="1340"/>
      <c r="CM91" s="1340"/>
      <c r="CN91" s="1340"/>
      <c r="CO91" s="1340"/>
      <c r="CP91" s="1340"/>
      <c r="CQ91" s="1340"/>
      <c r="CR91" s="1340"/>
      <c r="CS91" s="1340"/>
      <c r="CT91" s="1340"/>
      <c r="CU91" s="1340"/>
      <c r="CV91" s="1340"/>
      <c r="CW91" s="1340"/>
      <c r="CX91" s="1340"/>
      <c r="CY91" s="1340"/>
      <c r="CZ91" s="1340"/>
      <c r="DA91" s="1340"/>
      <c r="DB91" s="1340"/>
      <c r="DC91" s="1340"/>
      <c r="DD91" s="1340"/>
      <c r="DE91" s="1340"/>
      <c r="DF91" s="1340"/>
      <c r="DG91" s="1340"/>
      <c r="DH91" s="1340"/>
      <c r="DI91" s="1340"/>
      <c r="DJ91" s="1340"/>
      <c r="DK91" s="1340"/>
      <c r="DL91" s="1340"/>
      <c r="DM91" s="1340"/>
      <c r="DN91" s="1340"/>
      <c r="DO91" s="1340"/>
      <c r="DP91" s="1340"/>
      <c r="DQ91" s="1340"/>
      <c r="DR91" s="1340"/>
      <c r="DS91" s="1340"/>
      <c r="DT91" s="1340"/>
      <c r="DU91" s="1340"/>
      <c r="DV91" s="1340"/>
      <c r="DW91" s="1340"/>
      <c r="DX91" s="1340"/>
      <c r="DY91" s="1340"/>
      <c r="DZ91" s="1340"/>
      <c r="EA91" s="1340"/>
      <c r="EB91" s="1340"/>
      <c r="EC91" s="1340"/>
      <c r="ED91" s="1340"/>
      <c r="EE91" s="1340"/>
      <c r="EF91" s="1340"/>
      <c r="EG91" s="1340"/>
      <c r="EH91" s="1340"/>
      <c r="EI91" s="1340"/>
      <c r="EJ91" s="1340"/>
      <c r="EK91" s="1340"/>
      <c r="EL91" s="1340"/>
      <c r="EM91" s="1340"/>
      <c r="EN91" s="1340"/>
      <c r="EO91" s="1340"/>
      <c r="EP91" s="1340"/>
      <c r="EQ91" s="1340"/>
      <c r="ER91" s="1340"/>
      <c r="ES91" s="1340"/>
      <c r="ET91" s="1340"/>
      <c r="EU91" s="1340"/>
      <c r="EV91" s="1340"/>
      <c r="EW91" s="1340"/>
      <c r="EX91" s="1340"/>
      <c r="EY91" s="1340"/>
      <c r="EZ91" s="1340"/>
      <c r="FA91" s="1340"/>
      <c r="FB91" s="1340"/>
      <c r="FC91" s="1340"/>
      <c r="FD91" s="1340"/>
      <c r="FE91" s="1340"/>
      <c r="FF91" s="1340"/>
      <c r="FG91" s="1340"/>
      <c r="FH91" s="1340"/>
      <c r="FI91" s="1340"/>
      <c r="FJ91" s="1340"/>
      <c r="FK91" s="1340"/>
      <c r="FL91" s="1340"/>
      <c r="FM91" s="1340"/>
      <c r="FN91" s="1340"/>
      <c r="FO91" s="1340"/>
      <c r="FP91" s="1340"/>
      <c r="FQ91" s="1340"/>
      <c r="FR91" s="1340"/>
      <c r="FS91" s="1340"/>
      <c r="FT91" s="1340"/>
      <c r="FU91" s="1340"/>
      <c r="FV91" s="1340"/>
      <c r="FW91" s="1340"/>
      <c r="FX91" s="1340"/>
      <c r="FY91" s="1340"/>
      <c r="FZ91" s="1340"/>
      <c r="GA91" s="1340"/>
      <c r="GB91" s="1340"/>
      <c r="GC91" s="1340"/>
      <c r="GD91" s="1340"/>
      <c r="GE91" s="1340"/>
      <c r="GF91" s="1340"/>
      <c r="GG91" s="1340"/>
      <c r="GH91" s="1340"/>
      <c r="GI91" s="1340"/>
      <c r="GJ91" s="1340"/>
      <c r="GK91" s="1340"/>
      <c r="GL91" s="1340"/>
      <c r="GM91" s="1340"/>
      <c r="GN91" s="1340"/>
      <c r="GO91" s="1340"/>
      <c r="GP91" s="1340"/>
      <c r="GQ91" s="1340"/>
      <c r="GR91" s="1340"/>
      <c r="GS91" s="1340"/>
      <c r="GT91" s="1340"/>
      <c r="GU91" s="1340"/>
      <c r="GV91" s="1340"/>
      <c r="GW91" s="1340"/>
      <c r="GX91" s="1340"/>
      <c r="GY91" s="1340"/>
      <c r="GZ91" s="1340"/>
      <c r="HA91" s="1340"/>
      <c r="HB91" s="1340"/>
      <c r="HC91" s="1340"/>
      <c r="HD91" s="1340"/>
      <c r="HE91" s="1340"/>
      <c r="HF91" s="1340"/>
      <c r="HG91" s="1340"/>
      <c r="HH91" s="1340"/>
      <c r="HI91" s="1340"/>
      <c r="HJ91" s="1340"/>
      <c r="HK91" s="1340"/>
      <c r="HL91" s="1340"/>
      <c r="HM91" s="1340"/>
      <c r="HN91" s="1340"/>
      <c r="HO91" s="1340"/>
      <c r="HP91" s="1340"/>
      <c r="HQ91" s="1340"/>
      <c r="HR91" s="1340"/>
      <c r="HS91" s="1340"/>
      <c r="HT91" s="1340"/>
      <c r="HU91" s="1340"/>
      <c r="HV91" s="1340"/>
      <c r="HW91" s="1340"/>
      <c r="HX91" s="1340"/>
      <c r="HY91" s="1340"/>
      <c r="HZ91" s="1340"/>
      <c r="IA91" s="1340"/>
      <c r="IB91" s="1340"/>
      <c r="IC91" s="1340"/>
      <c r="ID91" s="1340"/>
      <c r="IE91" s="1340"/>
      <c r="IF91" s="1340"/>
      <c r="IG91" s="1340"/>
      <c r="IH91" s="1340"/>
      <c r="II91" s="1340"/>
      <c r="IJ91" s="1340"/>
      <c r="IK91" s="1340"/>
      <c r="IL91" s="1340"/>
      <c r="IM91" s="1340"/>
      <c r="IN91" s="1340"/>
      <c r="IO91" s="1340"/>
      <c r="IP91" s="1340"/>
      <c r="IQ91" s="1340"/>
      <c r="IR91" s="1340"/>
      <c r="IS91" s="1340"/>
      <c r="IT91" s="1340"/>
      <c r="IU91" s="1340"/>
      <c r="IV91" s="1340"/>
    </row>
    <row r="92" spans="1:256" ht="16.5" thickBot="1">
      <c r="A92" s="1355" t="s">
        <v>905</v>
      </c>
      <c r="B92" s="1356" t="s">
        <v>409</v>
      </c>
      <c r="C92" s="1357">
        <f>C85+C89+C90+C91</f>
        <v>1961235756</v>
      </c>
      <c r="E92" s="1340"/>
      <c r="F92" s="1340"/>
      <c r="G92" s="1340"/>
      <c r="H92" s="1340"/>
      <c r="I92" s="1340"/>
      <c r="J92" s="1340"/>
      <c r="K92" s="1340"/>
      <c r="L92" s="1340"/>
      <c r="M92" s="1340"/>
      <c r="N92" s="1340"/>
      <c r="O92" s="1340"/>
      <c r="P92" s="1340"/>
      <c r="Q92" s="1340"/>
      <c r="R92" s="1340"/>
      <c r="S92" s="1340"/>
      <c r="T92" s="1340"/>
      <c r="U92" s="1340"/>
      <c r="V92" s="1340"/>
      <c r="W92" s="1340"/>
      <c r="X92" s="1340"/>
      <c r="Y92" s="1340"/>
      <c r="Z92" s="1340"/>
      <c r="AA92" s="1340"/>
      <c r="AB92" s="1340"/>
      <c r="AC92" s="1340"/>
      <c r="AD92" s="1340"/>
      <c r="AE92" s="1340"/>
      <c r="AF92" s="1340"/>
      <c r="AG92" s="1340"/>
      <c r="AH92" s="1340"/>
      <c r="AI92" s="1340"/>
      <c r="AJ92" s="1340"/>
      <c r="AK92" s="1340"/>
      <c r="AL92" s="1340"/>
      <c r="AM92" s="1340"/>
      <c r="AN92" s="1340"/>
      <c r="AO92" s="1340"/>
      <c r="AP92" s="1340"/>
      <c r="AQ92" s="1340"/>
      <c r="AR92" s="1340"/>
      <c r="AS92" s="1340"/>
      <c r="AT92" s="1340"/>
      <c r="AU92" s="1340"/>
      <c r="AV92" s="1340"/>
      <c r="AW92" s="1340"/>
      <c r="AX92" s="1340"/>
      <c r="AY92" s="1340"/>
      <c r="AZ92" s="1340"/>
      <c r="BA92" s="1340"/>
      <c r="BB92" s="1340"/>
      <c r="BC92" s="1340"/>
      <c r="BD92" s="1340"/>
      <c r="BE92" s="1340"/>
      <c r="BF92" s="1340"/>
      <c r="BG92" s="1340"/>
      <c r="BH92" s="1340"/>
      <c r="BI92" s="1340"/>
      <c r="BJ92" s="1340"/>
      <c r="BK92" s="1340"/>
      <c r="BL92" s="1340"/>
      <c r="BM92" s="1340"/>
      <c r="BN92" s="1340"/>
      <c r="BO92" s="1340"/>
      <c r="BP92" s="1340"/>
      <c r="BQ92" s="1340"/>
      <c r="BR92" s="1340"/>
      <c r="BS92" s="1340"/>
      <c r="BT92" s="1340"/>
      <c r="BU92" s="1340"/>
      <c r="BV92" s="1340"/>
      <c r="BW92" s="1340"/>
      <c r="BX92" s="1340"/>
      <c r="BY92" s="1340"/>
      <c r="BZ92" s="1340"/>
      <c r="CA92" s="1340"/>
      <c r="CB92" s="1340"/>
      <c r="CC92" s="1340"/>
      <c r="CD92" s="1340"/>
      <c r="CE92" s="1340"/>
      <c r="CF92" s="1340"/>
      <c r="CG92" s="1340"/>
      <c r="CH92" s="1340"/>
      <c r="CI92" s="1340"/>
      <c r="CJ92" s="1340"/>
      <c r="CK92" s="1340"/>
      <c r="CL92" s="1340"/>
      <c r="CM92" s="1340"/>
      <c r="CN92" s="1340"/>
      <c r="CO92" s="1340"/>
      <c r="CP92" s="1340"/>
      <c r="CQ92" s="1340"/>
      <c r="CR92" s="1340"/>
      <c r="CS92" s="1340"/>
      <c r="CT92" s="1340"/>
      <c r="CU92" s="1340"/>
      <c r="CV92" s="1340"/>
      <c r="CW92" s="1340"/>
      <c r="CX92" s="1340"/>
      <c r="CY92" s="1340"/>
      <c r="CZ92" s="1340"/>
      <c r="DA92" s="1340"/>
      <c r="DB92" s="1340"/>
      <c r="DC92" s="1340"/>
      <c r="DD92" s="1340"/>
      <c r="DE92" s="1340"/>
      <c r="DF92" s="1340"/>
      <c r="DG92" s="1340"/>
      <c r="DH92" s="1340"/>
      <c r="DI92" s="1340"/>
      <c r="DJ92" s="1340"/>
      <c r="DK92" s="1340"/>
      <c r="DL92" s="1340"/>
      <c r="DM92" s="1340"/>
      <c r="DN92" s="1340"/>
      <c r="DO92" s="1340"/>
      <c r="DP92" s="1340"/>
      <c r="DQ92" s="1340"/>
      <c r="DR92" s="1340"/>
      <c r="DS92" s="1340"/>
      <c r="DT92" s="1340"/>
      <c r="DU92" s="1340"/>
      <c r="DV92" s="1340"/>
      <c r="DW92" s="1340"/>
      <c r="DX92" s="1340"/>
      <c r="DY92" s="1340"/>
      <c r="DZ92" s="1340"/>
      <c r="EA92" s="1340"/>
      <c r="EB92" s="1340"/>
      <c r="EC92" s="1340"/>
      <c r="ED92" s="1340"/>
      <c r="EE92" s="1340"/>
      <c r="EF92" s="1340"/>
      <c r="EG92" s="1340"/>
      <c r="EH92" s="1340"/>
      <c r="EI92" s="1340"/>
      <c r="EJ92" s="1340"/>
      <c r="EK92" s="1340"/>
      <c r="EL92" s="1340"/>
      <c r="EM92" s="1340"/>
      <c r="EN92" s="1340"/>
      <c r="EO92" s="1340"/>
      <c r="EP92" s="1340"/>
      <c r="EQ92" s="1340"/>
      <c r="ER92" s="1340"/>
      <c r="ES92" s="1340"/>
      <c r="ET92" s="1340"/>
      <c r="EU92" s="1340"/>
      <c r="EV92" s="1340"/>
      <c r="EW92" s="1340"/>
      <c r="EX92" s="1340"/>
      <c r="EY92" s="1340"/>
      <c r="EZ92" s="1340"/>
      <c r="FA92" s="1340"/>
      <c r="FB92" s="1340"/>
      <c r="FC92" s="1340"/>
      <c r="FD92" s="1340"/>
      <c r="FE92" s="1340"/>
      <c r="FF92" s="1340"/>
      <c r="FG92" s="1340"/>
      <c r="FH92" s="1340"/>
      <c r="FI92" s="1340"/>
      <c r="FJ92" s="1340"/>
      <c r="FK92" s="1340"/>
      <c r="FL92" s="1340"/>
      <c r="FM92" s="1340"/>
      <c r="FN92" s="1340"/>
      <c r="FO92" s="1340"/>
      <c r="FP92" s="1340"/>
      <c r="FQ92" s="1340"/>
      <c r="FR92" s="1340"/>
      <c r="FS92" s="1340"/>
      <c r="FT92" s="1340"/>
      <c r="FU92" s="1340"/>
      <c r="FV92" s="1340"/>
      <c r="FW92" s="1340"/>
      <c r="FX92" s="1340"/>
      <c r="FY92" s="1340"/>
      <c r="FZ92" s="1340"/>
      <c r="GA92" s="1340"/>
      <c r="GB92" s="1340"/>
      <c r="GC92" s="1340"/>
      <c r="GD92" s="1340"/>
      <c r="GE92" s="1340"/>
      <c r="GF92" s="1340"/>
      <c r="GG92" s="1340"/>
      <c r="GH92" s="1340"/>
      <c r="GI92" s="1340"/>
      <c r="GJ92" s="1340"/>
      <c r="GK92" s="1340"/>
      <c r="GL92" s="1340"/>
      <c r="GM92" s="1340"/>
      <c r="GN92" s="1340"/>
      <c r="GO92" s="1340"/>
      <c r="GP92" s="1340"/>
      <c r="GQ92" s="1340"/>
      <c r="GR92" s="1340"/>
      <c r="GS92" s="1340"/>
      <c r="GT92" s="1340"/>
      <c r="GU92" s="1340"/>
      <c r="GV92" s="1340"/>
      <c r="GW92" s="1340"/>
      <c r="GX92" s="1340"/>
      <c r="GY92" s="1340"/>
      <c r="GZ92" s="1340"/>
      <c r="HA92" s="1340"/>
      <c r="HB92" s="1340"/>
      <c r="HC92" s="1340"/>
      <c r="HD92" s="1340"/>
      <c r="HE92" s="1340"/>
      <c r="HF92" s="1340"/>
      <c r="HG92" s="1340"/>
      <c r="HH92" s="1340"/>
      <c r="HI92" s="1340"/>
      <c r="HJ92" s="1340"/>
      <c r="HK92" s="1340"/>
      <c r="HL92" s="1340"/>
      <c r="HM92" s="1340"/>
      <c r="HN92" s="1340"/>
      <c r="HO92" s="1340"/>
      <c r="HP92" s="1340"/>
      <c r="HQ92" s="1340"/>
      <c r="HR92" s="1340"/>
      <c r="HS92" s="1340"/>
      <c r="HT92" s="1340"/>
      <c r="HU92" s="1340"/>
      <c r="HV92" s="1340"/>
      <c r="HW92" s="1340"/>
      <c r="HX92" s="1340"/>
      <c r="HY92" s="1340"/>
      <c r="HZ92" s="1340"/>
      <c r="IA92" s="1340"/>
      <c r="IB92" s="1340"/>
      <c r="IC92" s="1340"/>
      <c r="ID92" s="1340"/>
      <c r="IE92" s="1340"/>
      <c r="IF92" s="1340"/>
      <c r="IG92" s="1340"/>
      <c r="IH92" s="1340"/>
      <c r="II92" s="1340"/>
      <c r="IJ92" s="1340"/>
      <c r="IK92" s="1340"/>
      <c r="IL92" s="1340"/>
      <c r="IM92" s="1340"/>
      <c r="IN92" s="1340"/>
      <c r="IO92" s="1340"/>
      <c r="IP92" s="1340"/>
      <c r="IQ92" s="1340"/>
      <c r="IR92" s="1340"/>
      <c r="IS92" s="1340"/>
      <c r="IT92" s="1340"/>
      <c r="IU92" s="1340"/>
      <c r="IV92" s="1340"/>
    </row>
  </sheetData>
  <sheetProtection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7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V92"/>
  <sheetViews>
    <sheetView view="pageBreakPreview" zoomScale="60" zoomScalePageLayoutView="0" workbookViewId="0" topLeftCell="A58">
      <selection activeCell="A1" sqref="A1:D1"/>
    </sheetView>
  </sheetViews>
  <sheetFormatPr defaultColWidth="60.421875" defaultRowHeight="12.75"/>
  <cols>
    <col min="1" max="1" width="60.421875" style="1334" customWidth="1"/>
    <col min="2" max="2" width="5.57421875" style="1378" customWidth="1"/>
    <col min="3" max="3" width="12.421875" style="1334" customWidth="1"/>
    <col min="4" max="4" width="14.8515625" style="1334" customWidth="1"/>
    <col min="5" max="255" width="10.7109375" style="1334" customWidth="1"/>
    <col min="256" max="16384" width="60.421875" style="1334" customWidth="1"/>
  </cols>
  <sheetData>
    <row r="1" spans="1:256" ht="48" customHeight="1">
      <c r="A1" s="2045" t="s">
        <v>763</v>
      </c>
      <c r="B1" s="2045"/>
      <c r="C1" s="2045"/>
      <c r="D1" s="2045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1317"/>
      <c r="R1" s="1317"/>
      <c r="S1" s="1317"/>
      <c r="T1" s="1317"/>
      <c r="U1" s="1317"/>
      <c r="V1" s="1317"/>
      <c r="W1" s="1317"/>
      <c r="X1" s="1317"/>
      <c r="Y1" s="1317"/>
      <c r="Z1" s="1317"/>
      <c r="AA1" s="1317"/>
      <c r="AB1" s="1317"/>
      <c r="AC1" s="1317"/>
      <c r="AD1" s="1317"/>
      <c r="AE1" s="1317"/>
      <c r="AF1" s="1317"/>
      <c r="AG1" s="1317"/>
      <c r="AH1" s="1317"/>
      <c r="AI1" s="1317"/>
      <c r="AJ1" s="1317"/>
      <c r="AK1" s="1317"/>
      <c r="AL1" s="1317"/>
      <c r="AM1" s="1317"/>
      <c r="AN1" s="1317"/>
      <c r="AO1" s="1317"/>
      <c r="AP1" s="1317"/>
      <c r="AQ1" s="1317"/>
      <c r="AR1" s="1317"/>
      <c r="AS1" s="1317"/>
      <c r="AT1" s="1317"/>
      <c r="AU1" s="1317"/>
      <c r="AV1" s="1317"/>
      <c r="AW1" s="1317"/>
      <c r="AX1" s="1317"/>
      <c r="AY1" s="1317"/>
      <c r="AZ1" s="1317"/>
      <c r="BA1" s="1317"/>
      <c r="BB1" s="1317"/>
      <c r="BC1" s="1317"/>
      <c r="BD1" s="1317"/>
      <c r="BE1" s="1317"/>
      <c r="BF1" s="1317"/>
      <c r="BG1" s="1317"/>
      <c r="BH1" s="1317"/>
      <c r="BI1" s="1317"/>
      <c r="BJ1" s="1317"/>
      <c r="BK1" s="1317"/>
      <c r="BL1" s="1317"/>
      <c r="BM1" s="1317"/>
      <c r="BN1" s="1317"/>
      <c r="BO1" s="1317"/>
      <c r="BP1" s="1317"/>
      <c r="BQ1" s="1317"/>
      <c r="BR1" s="1317"/>
      <c r="BS1" s="1317"/>
      <c r="BT1" s="1317"/>
      <c r="BU1" s="1317"/>
      <c r="BV1" s="1317"/>
      <c r="BW1" s="1317"/>
      <c r="BX1" s="1317"/>
      <c r="BY1" s="1317"/>
      <c r="BZ1" s="1317"/>
      <c r="CA1" s="1317"/>
      <c r="CB1" s="1317"/>
      <c r="CC1" s="1317"/>
      <c r="CD1" s="1317"/>
      <c r="CE1" s="1317"/>
      <c r="CF1" s="1317"/>
      <c r="CG1" s="1317"/>
      <c r="CH1" s="1317"/>
      <c r="CI1" s="1317"/>
      <c r="CJ1" s="1317"/>
      <c r="CK1" s="1317"/>
      <c r="CL1" s="1317"/>
      <c r="CM1" s="1317"/>
      <c r="CN1" s="1317"/>
      <c r="CO1" s="1317"/>
      <c r="CP1" s="1317"/>
      <c r="CQ1" s="1317"/>
      <c r="CR1" s="1317"/>
      <c r="CS1" s="1317"/>
      <c r="CT1" s="1317"/>
      <c r="CU1" s="1317"/>
      <c r="CV1" s="1317"/>
      <c r="CW1" s="1317"/>
      <c r="CX1" s="1317"/>
      <c r="CY1" s="1317"/>
      <c r="CZ1" s="1317"/>
      <c r="DA1" s="1317"/>
      <c r="DB1" s="1317"/>
      <c r="DC1" s="1317"/>
      <c r="DD1" s="1317"/>
      <c r="DE1" s="1317"/>
      <c r="DF1" s="1317"/>
      <c r="DG1" s="1317"/>
      <c r="DH1" s="1317"/>
      <c r="DI1" s="1317"/>
      <c r="DJ1" s="1317"/>
      <c r="DK1" s="1317"/>
      <c r="DL1" s="1317"/>
      <c r="DM1" s="1317"/>
      <c r="DN1" s="1317"/>
      <c r="DO1" s="1317"/>
      <c r="DP1" s="1317"/>
      <c r="DQ1" s="1317"/>
      <c r="DR1" s="1317"/>
      <c r="DS1" s="1317"/>
      <c r="DT1" s="1317"/>
      <c r="DU1" s="1317"/>
      <c r="DV1" s="1317"/>
      <c r="DW1" s="1317"/>
      <c r="DX1" s="1317"/>
      <c r="DY1" s="1317"/>
      <c r="DZ1" s="1317"/>
      <c r="EA1" s="1317"/>
      <c r="EB1" s="1317"/>
      <c r="EC1" s="1317"/>
      <c r="ED1" s="1317"/>
      <c r="EE1" s="1317"/>
      <c r="EF1" s="1317"/>
      <c r="EG1" s="1317"/>
      <c r="EH1" s="1317"/>
      <c r="EI1" s="1317"/>
      <c r="EJ1" s="1317"/>
      <c r="EK1" s="1317"/>
      <c r="EL1" s="1317"/>
      <c r="EM1" s="1317"/>
      <c r="EN1" s="1317"/>
      <c r="EO1" s="1317"/>
      <c r="EP1" s="1317"/>
      <c r="EQ1" s="1317"/>
      <c r="ER1" s="1317"/>
      <c r="ES1" s="1317"/>
      <c r="ET1" s="1317"/>
      <c r="EU1" s="1317"/>
      <c r="EV1" s="1317"/>
      <c r="EW1" s="1317"/>
      <c r="EX1" s="1317"/>
      <c r="EY1" s="1317"/>
      <c r="EZ1" s="1317"/>
      <c r="FA1" s="1317"/>
      <c r="FB1" s="1317"/>
      <c r="FC1" s="1317"/>
      <c r="FD1" s="1317"/>
      <c r="FE1" s="1317"/>
      <c r="FF1" s="1317"/>
      <c r="FG1" s="1317"/>
      <c r="FH1" s="1317"/>
      <c r="FI1" s="1317"/>
      <c r="FJ1" s="1317"/>
      <c r="FK1" s="1317"/>
      <c r="FL1" s="1317"/>
      <c r="FM1" s="1317"/>
      <c r="FN1" s="1317"/>
      <c r="FO1" s="1317"/>
      <c r="FP1" s="1317"/>
      <c r="FQ1" s="1317"/>
      <c r="FR1" s="1317"/>
      <c r="FS1" s="1317"/>
      <c r="FT1" s="1317"/>
      <c r="FU1" s="1317"/>
      <c r="FV1" s="1317"/>
      <c r="FW1" s="1317"/>
      <c r="FX1" s="1317"/>
      <c r="FY1" s="1317"/>
      <c r="FZ1" s="1317"/>
      <c r="GA1" s="1317"/>
      <c r="GB1" s="1317"/>
      <c r="GC1" s="1317"/>
      <c r="GD1" s="1317"/>
      <c r="GE1" s="1317"/>
      <c r="GF1" s="1317"/>
      <c r="GG1" s="1317"/>
      <c r="GH1" s="1317"/>
      <c r="GI1" s="1317"/>
      <c r="GJ1" s="1317"/>
      <c r="GK1" s="1317"/>
      <c r="GL1" s="1317"/>
      <c r="GM1" s="1317"/>
      <c r="GN1" s="1317"/>
      <c r="GO1" s="1317"/>
      <c r="GP1" s="1317"/>
      <c r="GQ1" s="1317"/>
      <c r="GR1" s="1317"/>
      <c r="GS1" s="1317"/>
      <c r="GT1" s="1317"/>
      <c r="GU1" s="1317"/>
      <c r="GV1" s="1317"/>
      <c r="GW1" s="1317"/>
      <c r="GX1" s="1317"/>
      <c r="GY1" s="1317"/>
      <c r="GZ1" s="1317"/>
      <c r="HA1" s="1317"/>
      <c r="HB1" s="1317"/>
      <c r="HC1" s="1317"/>
      <c r="HD1" s="1317"/>
      <c r="HE1" s="1317"/>
      <c r="HF1" s="1317"/>
      <c r="HG1" s="1317"/>
      <c r="HH1" s="1317"/>
      <c r="HI1" s="1317"/>
      <c r="HJ1" s="1317"/>
      <c r="HK1" s="1317"/>
      <c r="HL1" s="1317"/>
      <c r="HM1" s="1317"/>
      <c r="HN1" s="1317"/>
      <c r="HO1" s="1317"/>
      <c r="HP1" s="1317"/>
      <c r="HQ1" s="1317"/>
      <c r="HR1" s="1317"/>
      <c r="HS1" s="1317"/>
      <c r="HT1" s="1317"/>
      <c r="HU1" s="1317"/>
      <c r="HV1" s="1317"/>
      <c r="HW1" s="1317"/>
      <c r="HX1" s="1317"/>
      <c r="HY1" s="1317"/>
      <c r="HZ1" s="1317"/>
      <c r="IA1" s="1317"/>
      <c r="IB1" s="1317"/>
      <c r="IC1" s="1317"/>
      <c r="ID1" s="1317"/>
      <c r="IE1" s="1317"/>
      <c r="IF1" s="1317"/>
      <c r="IG1" s="1317"/>
      <c r="IH1" s="1317"/>
      <c r="II1" s="1317"/>
      <c r="IJ1" s="1317"/>
      <c r="IK1" s="1317"/>
      <c r="IL1" s="1317"/>
      <c r="IM1" s="1317"/>
      <c r="IN1" s="1317"/>
      <c r="IO1" s="1317"/>
      <c r="IP1" s="1317"/>
      <c r="IQ1" s="1317"/>
      <c r="IR1" s="1317"/>
      <c r="IS1" s="1317"/>
      <c r="IT1" s="1317"/>
      <c r="IU1" s="1317"/>
      <c r="IV1" s="1317"/>
    </row>
    <row r="2" spans="1:256" ht="16.5" thickBot="1">
      <c r="A2" s="1358" t="s">
        <v>906</v>
      </c>
      <c r="B2" s="1359"/>
      <c r="C2" s="2046" t="s">
        <v>764</v>
      </c>
      <c r="D2" s="2046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317"/>
      <c r="Y2" s="1317"/>
      <c r="Z2" s="1317"/>
      <c r="AA2" s="1317"/>
      <c r="AB2" s="1317"/>
      <c r="AC2" s="1317"/>
      <c r="AD2" s="1317"/>
      <c r="AE2" s="1317"/>
      <c r="AF2" s="1317"/>
      <c r="AG2" s="1317"/>
      <c r="AH2" s="1317"/>
      <c r="AI2" s="1317"/>
      <c r="AJ2" s="1317"/>
      <c r="AK2" s="1317"/>
      <c r="AL2" s="1317"/>
      <c r="AM2" s="1317"/>
      <c r="AN2" s="1317"/>
      <c r="AO2" s="1317"/>
      <c r="AP2" s="1317"/>
      <c r="AQ2" s="1317"/>
      <c r="AR2" s="1317"/>
      <c r="AS2" s="1317"/>
      <c r="AT2" s="1317"/>
      <c r="AU2" s="1317"/>
      <c r="AV2" s="1317"/>
      <c r="AW2" s="1317"/>
      <c r="AX2" s="1317"/>
      <c r="AY2" s="1317"/>
      <c r="AZ2" s="1317"/>
      <c r="BA2" s="1317"/>
      <c r="BB2" s="1317"/>
      <c r="BC2" s="1317"/>
      <c r="BD2" s="1317"/>
      <c r="BE2" s="1317"/>
      <c r="BF2" s="1317"/>
      <c r="BG2" s="1317"/>
      <c r="BH2" s="1317"/>
      <c r="BI2" s="1317"/>
      <c r="BJ2" s="1317"/>
      <c r="BK2" s="1317"/>
      <c r="BL2" s="1317"/>
      <c r="BM2" s="1317"/>
      <c r="BN2" s="1317"/>
      <c r="BO2" s="1317"/>
      <c r="BP2" s="1317"/>
      <c r="BQ2" s="1317"/>
      <c r="BR2" s="1317"/>
      <c r="BS2" s="1317"/>
      <c r="BT2" s="1317"/>
      <c r="BU2" s="1317"/>
      <c r="BV2" s="1317"/>
      <c r="BW2" s="1317"/>
      <c r="BX2" s="1317"/>
      <c r="BY2" s="1317"/>
      <c r="BZ2" s="1317"/>
      <c r="CA2" s="1317"/>
      <c r="CB2" s="1317"/>
      <c r="CC2" s="1317"/>
      <c r="CD2" s="1317"/>
      <c r="CE2" s="1317"/>
      <c r="CF2" s="1317"/>
      <c r="CG2" s="1317"/>
      <c r="CH2" s="1317"/>
      <c r="CI2" s="1317"/>
      <c r="CJ2" s="1317"/>
      <c r="CK2" s="1317"/>
      <c r="CL2" s="1317"/>
      <c r="CM2" s="1317"/>
      <c r="CN2" s="1317"/>
      <c r="CO2" s="1317"/>
      <c r="CP2" s="1317"/>
      <c r="CQ2" s="1317"/>
      <c r="CR2" s="1317"/>
      <c r="CS2" s="1317"/>
      <c r="CT2" s="1317"/>
      <c r="CU2" s="1317"/>
      <c r="CV2" s="1317"/>
      <c r="CW2" s="1317"/>
      <c r="CX2" s="1317"/>
      <c r="CY2" s="1317"/>
      <c r="CZ2" s="1317"/>
      <c r="DA2" s="1317"/>
      <c r="DB2" s="1317"/>
      <c r="DC2" s="1317"/>
      <c r="DD2" s="1317"/>
      <c r="DE2" s="1317"/>
      <c r="DF2" s="1317"/>
      <c r="DG2" s="1317"/>
      <c r="DH2" s="1317"/>
      <c r="DI2" s="1317"/>
      <c r="DJ2" s="1317"/>
      <c r="DK2" s="1317"/>
      <c r="DL2" s="1317"/>
      <c r="DM2" s="1317"/>
      <c r="DN2" s="1317"/>
      <c r="DO2" s="1317"/>
      <c r="DP2" s="1317"/>
      <c r="DQ2" s="1317"/>
      <c r="DR2" s="1317"/>
      <c r="DS2" s="1317"/>
      <c r="DT2" s="1317"/>
      <c r="DU2" s="1317"/>
      <c r="DV2" s="1317"/>
      <c r="DW2" s="1317"/>
      <c r="DX2" s="1317"/>
      <c r="DY2" s="1317"/>
      <c r="DZ2" s="1317"/>
      <c r="EA2" s="1317"/>
      <c r="EB2" s="1317"/>
      <c r="EC2" s="1317"/>
      <c r="ED2" s="1317"/>
      <c r="EE2" s="1317"/>
      <c r="EF2" s="1317"/>
      <c r="EG2" s="1317"/>
      <c r="EH2" s="1317"/>
      <c r="EI2" s="1317"/>
      <c r="EJ2" s="1317"/>
      <c r="EK2" s="1317"/>
      <c r="EL2" s="1317"/>
      <c r="EM2" s="1317"/>
      <c r="EN2" s="1317"/>
      <c r="EO2" s="1317"/>
      <c r="EP2" s="1317"/>
      <c r="EQ2" s="1317"/>
      <c r="ER2" s="1317"/>
      <c r="ES2" s="1317"/>
      <c r="ET2" s="1317"/>
      <c r="EU2" s="1317"/>
      <c r="EV2" s="1317"/>
      <c r="EW2" s="1317"/>
      <c r="EX2" s="1317"/>
      <c r="EY2" s="1317"/>
      <c r="EZ2" s="1317"/>
      <c r="FA2" s="1317"/>
      <c r="FB2" s="1317"/>
      <c r="FC2" s="1317"/>
      <c r="FD2" s="1317"/>
      <c r="FE2" s="1317"/>
      <c r="FF2" s="1317"/>
      <c r="FG2" s="1317"/>
      <c r="FH2" s="1317"/>
      <c r="FI2" s="1317"/>
      <c r="FJ2" s="1317"/>
      <c r="FK2" s="1317"/>
      <c r="FL2" s="1317"/>
      <c r="FM2" s="1317"/>
      <c r="FN2" s="1317"/>
      <c r="FO2" s="1317"/>
      <c r="FP2" s="1317"/>
      <c r="FQ2" s="1317"/>
      <c r="FR2" s="1317"/>
      <c r="FS2" s="1317"/>
      <c r="FT2" s="1317"/>
      <c r="FU2" s="1317"/>
      <c r="FV2" s="1317"/>
      <c r="FW2" s="1317"/>
      <c r="FX2" s="1317"/>
      <c r="FY2" s="1317"/>
      <c r="FZ2" s="1317"/>
      <c r="GA2" s="1317"/>
      <c r="GB2" s="1317"/>
      <c r="GC2" s="1317"/>
      <c r="GD2" s="1317"/>
      <c r="GE2" s="1317"/>
      <c r="GF2" s="1317"/>
      <c r="GG2" s="1317"/>
      <c r="GH2" s="1317"/>
      <c r="GI2" s="1317"/>
      <c r="GJ2" s="1317"/>
      <c r="GK2" s="1317"/>
      <c r="GL2" s="1317"/>
      <c r="GM2" s="1317"/>
      <c r="GN2" s="1317"/>
      <c r="GO2" s="1317"/>
      <c r="GP2" s="1317"/>
      <c r="GQ2" s="1317"/>
      <c r="GR2" s="1317"/>
      <c r="GS2" s="1317"/>
      <c r="GT2" s="1317"/>
      <c r="GU2" s="1317"/>
      <c r="GV2" s="1317"/>
      <c r="GW2" s="1317"/>
      <c r="GX2" s="1317"/>
      <c r="GY2" s="1317"/>
      <c r="GZ2" s="1317"/>
      <c r="HA2" s="1317"/>
      <c r="HB2" s="1317"/>
      <c r="HC2" s="1317"/>
      <c r="HD2" s="1317"/>
      <c r="HE2" s="1317"/>
      <c r="HF2" s="1317"/>
      <c r="HG2" s="1317"/>
      <c r="HH2" s="1317"/>
      <c r="HI2" s="1317"/>
      <c r="HJ2" s="1317"/>
      <c r="HK2" s="1317"/>
      <c r="HL2" s="1317"/>
      <c r="HM2" s="1317"/>
      <c r="HN2" s="1317"/>
      <c r="HO2" s="1317"/>
      <c r="HP2" s="1317"/>
      <c r="HQ2" s="1317"/>
      <c r="HR2" s="1317"/>
      <c r="HS2" s="1317"/>
      <c r="HT2" s="1317"/>
      <c r="HU2" s="1317"/>
      <c r="HV2" s="1317"/>
      <c r="HW2" s="1317"/>
      <c r="HX2" s="1317"/>
      <c r="HY2" s="1317"/>
      <c r="HZ2" s="1317"/>
      <c r="IA2" s="1317"/>
      <c r="IB2" s="1317"/>
      <c r="IC2" s="1317"/>
      <c r="ID2" s="1317"/>
      <c r="IE2" s="1317"/>
      <c r="IF2" s="1317"/>
      <c r="IG2" s="1317"/>
      <c r="IH2" s="1317"/>
      <c r="II2" s="1317"/>
      <c r="IJ2" s="1317"/>
      <c r="IK2" s="1317"/>
      <c r="IL2" s="1317"/>
      <c r="IM2" s="1317"/>
      <c r="IN2" s="1317"/>
      <c r="IO2" s="1317"/>
      <c r="IP2" s="1317"/>
      <c r="IQ2" s="1317"/>
      <c r="IR2" s="1317"/>
      <c r="IS2" s="1317"/>
      <c r="IT2" s="1317"/>
      <c r="IU2" s="1317"/>
      <c r="IV2" s="1317"/>
    </row>
    <row r="3" spans="1:256" ht="16.5" thickBot="1">
      <c r="A3" s="2047" t="s">
        <v>765</v>
      </c>
      <c r="B3" s="2048" t="s">
        <v>5</v>
      </c>
      <c r="C3" s="2049" t="s">
        <v>766</v>
      </c>
      <c r="D3" s="2049" t="s">
        <v>767</v>
      </c>
      <c r="E3" s="1317"/>
      <c r="F3" s="1317"/>
      <c r="G3" s="1317"/>
      <c r="H3" s="1317"/>
      <c r="I3" s="1317"/>
      <c r="J3" s="1317"/>
      <c r="K3" s="1317"/>
      <c r="L3" s="1317"/>
      <c r="M3" s="1317"/>
      <c r="N3" s="1317"/>
      <c r="O3" s="1317"/>
      <c r="P3" s="1317"/>
      <c r="Q3" s="1317"/>
      <c r="R3" s="1317"/>
      <c r="S3" s="1317"/>
      <c r="T3" s="1317"/>
      <c r="U3" s="1317"/>
      <c r="V3" s="1317"/>
      <c r="W3" s="1317"/>
      <c r="X3" s="1317"/>
      <c r="Y3" s="1317"/>
      <c r="Z3" s="1317"/>
      <c r="AA3" s="1317"/>
      <c r="AB3" s="1317"/>
      <c r="AC3" s="1317"/>
      <c r="AD3" s="1317"/>
      <c r="AE3" s="1317"/>
      <c r="AF3" s="1317"/>
      <c r="AG3" s="1317"/>
      <c r="AH3" s="1317"/>
      <c r="AI3" s="1317"/>
      <c r="AJ3" s="1317"/>
      <c r="AK3" s="1317"/>
      <c r="AL3" s="1317"/>
      <c r="AM3" s="1317"/>
      <c r="AN3" s="1317"/>
      <c r="AO3" s="1317"/>
      <c r="AP3" s="1317"/>
      <c r="AQ3" s="1317"/>
      <c r="AR3" s="1317"/>
      <c r="AS3" s="1317"/>
      <c r="AT3" s="1317"/>
      <c r="AU3" s="1317"/>
      <c r="AV3" s="1317"/>
      <c r="AW3" s="1317"/>
      <c r="AX3" s="1317"/>
      <c r="AY3" s="1317"/>
      <c r="AZ3" s="1317"/>
      <c r="BA3" s="1317"/>
      <c r="BB3" s="1317"/>
      <c r="BC3" s="1317"/>
      <c r="BD3" s="1317"/>
      <c r="BE3" s="1317"/>
      <c r="BF3" s="1317"/>
      <c r="BG3" s="1317"/>
      <c r="BH3" s="1317"/>
      <c r="BI3" s="1317"/>
      <c r="BJ3" s="1317"/>
      <c r="BK3" s="1317"/>
      <c r="BL3" s="1317"/>
      <c r="BM3" s="1317"/>
      <c r="BN3" s="1317"/>
      <c r="BO3" s="1317"/>
      <c r="BP3" s="1317"/>
      <c r="BQ3" s="1317"/>
      <c r="BR3" s="1317"/>
      <c r="BS3" s="1317"/>
      <c r="BT3" s="1317"/>
      <c r="BU3" s="1317"/>
      <c r="BV3" s="1317"/>
      <c r="BW3" s="1317"/>
      <c r="BX3" s="1317"/>
      <c r="BY3" s="1317"/>
      <c r="BZ3" s="1317"/>
      <c r="CA3" s="1317"/>
      <c r="CB3" s="1317"/>
      <c r="CC3" s="1317"/>
      <c r="CD3" s="1317"/>
      <c r="CE3" s="1317"/>
      <c r="CF3" s="1317"/>
      <c r="CG3" s="1317"/>
      <c r="CH3" s="1317"/>
      <c r="CI3" s="1317"/>
      <c r="CJ3" s="1317"/>
      <c r="CK3" s="1317"/>
      <c r="CL3" s="1317"/>
      <c r="CM3" s="1317"/>
      <c r="CN3" s="1317"/>
      <c r="CO3" s="1317"/>
      <c r="CP3" s="1317"/>
      <c r="CQ3" s="1317"/>
      <c r="CR3" s="1317"/>
      <c r="CS3" s="1317"/>
      <c r="CT3" s="1317"/>
      <c r="CU3" s="1317"/>
      <c r="CV3" s="1317"/>
      <c r="CW3" s="1317"/>
      <c r="CX3" s="1317"/>
      <c r="CY3" s="1317"/>
      <c r="CZ3" s="1317"/>
      <c r="DA3" s="1317"/>
      <c r="DB3" s="1317"/>
      <c r="DC3" s="1317"/>
      <c r="DD3" s="1317"/>
      <c r="DE3" s="1317"/>
      <c r="DF3" s="1317"/>
      <c r="DG3" s="1317"/>
      <c r="DH3" s="1317"/>
      <c r="DI3" s="1317"/>
      <c r="DJ3" s="1317"/>
      <c r="DK3" s="1317"/>
      <c r="DL3" s="1317"/>
      <c r="DM3" s="1317"/>
      <c r="DN3" s="1317"/>
      <c r="DO3" s="1317"/>
      <c r="DP3" s="1317"/>
      <c r="DQ3" s="1317"/>
      <c r="DR3" s="1317"/>
      <c r="DS3" s="1317"/>
      <c r="DT3" s="1317"/>
      <c r="DU3" s="1317"/>
      <c r="DV3" s="1317"/>
      <c r="DW3" s="1317"/>
      <c r="DX3" s="1317"/>
      <c r="DY3" s="1317"/>
      <c r="DZ3" s="1317"/>
      <c r="EA3" s="1317"/>
      <c r="EB3" s="1317"/>
      <c r="EC3" s="1317"/>
      <c r="ED3" s="1317"/>
      <c r="EE3" s="1317"/>
      <c r="EF3" s="1317"/>
      <c r="EG3" s="1317"/>
      <c r="EH3" s="1317"/>
      <c r="EI3" s="1317"/>
      <c r="EJ3" s="1317"/>
      <c r="EK3" s="1317"/>
      <c r="EL3" s="1317"/>
      <c r="EM3" s="1317"/>
      <c r="EN3" s="1317"/>
      <c r="EO3" s="1317"/>
      <c r="EP3" s="1317"/>
      <c r="EQ3" s="1317"/>
      <c r="ER3" s="1317"/>
      <c r="ES3" s="1317"/>
      <c r="ET3" s="1317"/>
      <c r="EU3" s="1317"/>
      <c r="EV3" s="1317"/>
      <c r="EW3" s="1317"/>
      <c r="EX3" s="1317"/>
      <c r="EY3" s="1317"/>
      <c r="EZ3" s="1317"/>
      <c r="FA3" s="1317"/>
      <c r="FB3" s="1317"/>
      <c r="FC3" s="1317"/>
      <c r="FD3" s="1317"/>
      <c r="FE3" s="1317"/>
      <c r="FF3" s="1317"/>
      <c r="FG3" s="1317"/>
      <c r="FH3" s="1317"/>
      <c r="FI3" s="1317"/>
      <c r="FJ3" s="1317"/>
      <c r="FK3" s="1317"/>
      <c r="FL3" s="1317"/>
      <c r="FM3" s="1317"/>
      <c r="FN3" s="1317"/>
      <c r="FO3" s="1317"/>
      <c r="FP3" s="1317"/>
      <c r="FQ3" s="1317"/>
      <c r="FR3" s="1317"/>
      <c r="FS3" s="1317"/>
      <c r="FT3" s="1317"/>
      <c r="FU3" s="1317"/>
      <c r="FV3" s="1317"/>
      <c r="FW3" s="1317"/>
      <c r="FX3" s="1317"/>
      <c r="FY3" s="1317"/>
      <c r="FZ3" s="1317"/>
      <c r="GA3" s="1317"/>
      <c r="GB3" s="1317"/>
      <c r="GC3" s="1317"/>
      <c r="GD3" s="1317"/>
      <c r="GE3" s="1317"/>
      <c r="GF3" s="1317"/>
      <c r="GG3" s="1317"/>
      <c r="GH3" s="1317"/>
      <c r="GI3" s="1317"/>
      <c r="GJ3" s="1317"/>
      <c r="GK3" s="1317"/>
      <c r="GL3" s="1317"/>
      <c r="GM3" s="1317"/>
      <c r="GN3" s="1317"/>
      <c r="GO3" s="1317"/>
      <c r="GP3" s="1317"/>
      <c r="GQ3" s="1317"/>
      <c r="GR3" s="1317"/>
      <c r="GS3" s="1317"/>
      <c r="GT3" s="1317"/>
      <c r="GU3" s="1317"/>
      <c r="GV3" s="1317"/>
      <c r="GW3" s="1317"/>
      <c r="GX3" s="1317"/>
      <c r="GY3" s="1317"/>
      <c r="GZ3" s="1317"/>
      <c r="HA3" s="1317"/>
      <c r="HB3" s="1317"/>
      <c r="HC3" s="1317"/>
      <c r="HD3" s="1317"/>
      <c r="HE3" s="1317"/>
      <c r="HF3" s="1317"/>
      <c r="HG3" s="1317"/>
      <c r="HH3" s="1317"/>
      <c r="HI3" s="1317"/>
      <c r="HJ3" s="1317"/>
      <c r="HK3" s="1317"/>
      <c r="HL3" s="1317"/>
      <c r="HM3" s="1317"/>
      <c r="HN3" s="1317"/>
      <c r="HO3" s="1317"/>
      <c r="HP3" s="1317"/>
      <c r="HQ3" s="1317"/>
      <c r="HR3" s="1317"/>
      <c r="HS3" s="1317"/>
      <c r="HT3" s="1317"/>
      <c r="HU3" s="1317"/>
      <c r="HV3" s="1317"/>
      <c r="HW3" s="1317"/>
      <c r="HX3" s="1317"/>
      <c r="HY3" s="1317"/>
      <c r="HZ3" s="1317"/>
      <c r="IA3" s="1317"/>
      <c r="IB3" s="1317"/>
      <c r="IC3" s="1317"/>
      <c r="ID3" s="1317"/>
      <c r="IE3" s="1317"/>
      <c r="IF3" s="1317"/>
      <c r="IG3" s="1317"/>
      <c r="IH3" s="1317"/>
      <c r="II3" s="1317"/>
      <c r="IJ3" s="1317"/>
      <c r="IK3" s="1317"/>
      <c r="IL3" s="1317"/>
      <c r="IM3" s="1317"/>
      <c r="IN3" s="1317"/>
      <c r="IO3" s="1317"/>
      <c r="IP3" s="1317"/>
      <c r="IQ3" s="1317"/>
      <c r="IR3" s="1317"/>
      <c r="IS3" s="1317"/>
      <c r="IT3" s="1317"/>
      <c r="IU3" s="1317"/>
      <c r="IV3" s="1317"/>
    </row>
    <row r="4" spans="1:256" ht="16.5" thickBot="1">
      <c r="A4" s="2047"/>
      <c r="B4" s="2048"/>
      <c r="C4" s="2049"/>
      <c r="D4" s="2049"/>
      <c r="E4" s="1317"/>
      <c r="F4" s="1317"/>
      <c r="G4" s="1317"/>
      <c r="H4" s="1317"/>
      <c r="I4" s="1317"/>
      <c r="J4" s="1317"/>
      <c r="K4" s="1317"/>
      <c r="L4" s="1317"/>
      <c r="M4" s="1317"/>
      <c r="N4" s="1317"/>
      <c r="O4" s="1317"/>
      <c r="P4" s="1317"/>
      <c r="Q4" s="1317"/>
      <c r="R4" s="1317"/>
      <c r="S4" s="1317"/>
      <c r="T4" s="1317"/>
      <c r="U4" s="1317"/>
      <c r="V4" s="1317"/>
      <c r="W4" s="1317"/>
      <c r="X4" s="1317"/>
      <c r="Y4" s="1317"/>
      <c r="Z4" s="1317"/>
      <c r="AA4" s="1317"/>
      <c r="AB4" s="1317"/>
      <c r="AC4" s="1317"/>
      <c r="AD4" s="1317"/>
      <c r="AE4" s="1317"/>
      <c r="AF4" s="1317"/>
      <c r="AG4" s="1317"/>
      <c r="AH4" s="1317"/>
      <c r="AI4" s="1317"/>
      <c r="AJ4" s="1317"/>
      <c r="AK4" s="1317"/>
      <c r="AL4" s="1317"/>
      <c r="AM4" s="1317"/>
      <c r="AN4" s="1317"/>
      <c r="AO4" s="1317"/>
      <c r="AP4" s="1317"/>
      <c r="AQ4" s="1317"/>
      <c r="AR4" s="1317"/>
      <c r="AS4" s="1317"/>
      <c r="AT4" s="1317"/>
      <c r="AU4" s="1317"/>
      <c r="AV4" s="1317"/>
      <c r="AW4" s="1317"/>
      <c r="AX4" s="1317"/>
      <c r="AY4" s="1317"/>
      <c r="AZ4" s="1317"/>
      <c r="BA4" s="1317"/>
      <c r="BB4" s="1317"/>
      <c r="BC4" s="1317"/>
      <c r="BD4" s="1317"/>
      <c r="BE4" s="1317"/>
      <c r="BF4" s="1317"/>
      <c r="BG4" s="1317"/>
      <c r="BH4" s="1317"/>
      <c r="BI4" s="1317"/>
      <c r="BJ4" s="1317"/>
      <c r="BK4" s="1317"/>
      <c r="BL4" s="1317"/>
      <c r="BM4" s="1317"/>
      <c r="BN4" s="1317"/>
      <c r="BO4" s="1317"/>
      <c r="BP4" s="1317"/>
      <c r="BQ4" s="1317"/>
      <c r="BR4" s="1317"/>
      <c r="BS4" s="1317"/>
      <c r="BT4" s="1317"/>
      <c r="BU4" s="1317"/>
      <c r="BV4" s="1317"/>
      <c r="BW4" s="1317"/>
      <c r="BX4" s="1317"/>
      <c r="BY4" s="1317"/>
      <c r="BZ4" s="1317"/>
      <c r="CA4" s="1317"/>
      <c r="CB4" s="1317"/>
      <c r="CC4" s="1317"/>
      <c r="CD4" s="1317"/>
      <c r="CE4" s="1317"/>
      <c r="CF4" s="1317"/>
      <c r="CG4" s="1317"/>
      <c r="CH4" s="1317"/>
      <c r="CI4" s="1317"/>
      <c r="CJ4" s="1317"/>
      <c r="CK4" s="1317"/>
      <c r="CL4" s="1317"/>
      <c r="CM4" s="1317"/>
      <c r="CN4" s="1317"/>
      <c r="CO4" s="1317"/>
      <c r="CP4" s="1317"/>
      <c r="CQ4" s="1317"/>
      <c r="CR4" s="1317"/>
      <c r="CS4" s="1317"/>
      <c r="CT4" s="1317"/>
      <c r="CU4" s="1317"/>
      <c r="CV4" s="1317"/>
      <c r="CW4" s="1317"/>
      <c r="CX4" s="1317"/>
      <c r="CY4" s="1317"/>
      <c r="CZ4" s="1317"/>
      <c r="DA4" s="1317"/>
      <c r="DB4" s="1317"/>
      <c r="DC4" s="1317"/>
      <c r="DD4" s="1317"/>
      <c r="DE4" s="1317"/>
      <c r="DF4" s="1317"/>
      <c r="DG4" s="1317"/>
      <c r="DH4" s="1317"/>
      <c r="DI4" s="1317"/>
      <c r="DJ4" s="1317"/>
      <c r="DK4" s="1317"/>
      <c r="DL4" s="1317"/>
      <c r="DM4" s="1317"/>
      <c r="DN4" s="1317"/>
      <c r="DO4" s="1317"/>
      <c r="DP4" s="1317"/>
      <c r="DQ4" s="1317"/>
      <c r="DR4" s="1317"/>
      <c r="DS4" s="1317"/>
      <c r="DT4" s="1317"/>
      <c r="DU4" s="1317"/>
      <c r="DV4" s="1317"/>
      <c r="DW4" s="1317"/>
      <c r="DX4" s="1317"/>
      <c r="DY4" s="1317"/>
      <c r="DZ4" s="1317"/>
      <c r="EA4" s="1317"/>
      <c r="EB4" s="1317"/>
      <c r="EC4" s="1317"/>
      <c r="ED4" s="1317"/>
      <c r="EE4" s="1317"/>
      <c r="EF4" s="1317"/>
      <c r="EG4" s="1317"/>
      <c r="EH4" s="1317"/>
      <c r="EI4" s="1317"/>
      <c r="EJ4" s="1317"/>
      <c r="EK4" s="1317"/>
      <c r="EL4" s="1317"/>
      <c r="EM4" s="1317"/>
      <c r="EN4" s="1317"/>
      <c r="EO4" s="1317"/>
      <c r="EP4" s="1317"/>
      <c r="EQ4" s="1317"/>
      <c r="ER4" s="1317"/>
      <c r="ES4" s="1317"/>
      <c r="ET4" s="1317"/>
      <c r="EU4" s="1317"/>
      <c r="EV4" s="1317"/>
      <c r="EW4" s="1317"/>
      <c r="EX4" s="1317"/>
      <c r="EY4" s="1317"/>
      <c r="EZ4" s="1317"/>
      <c r="FA4" s="1317"/>
      <c r="FB4" s="1317"/>
      <c r="FC4" s="1317"/>
      <c r="FD4" s="1317"/>
      <c r="FE4" s="1317"/>
      <c r="FF4" s="1317"/>
      <c r="FG4" s="1317"/>
      <c r="FH4" s="1317"/>
      <c r="FI4" s="1317"/>
      <c r="FJ4" s="1317"/>
      <c r="FK4" s="1317"/>
      <c r="FL4" s="1317"/>
      <c r="FM4" s="1317"/>
      <c r="FN4" s="1317"/>
      <c r="FO4" s="1317"/>
      <c r="FP4" s="1317"/>
      <c r="FQ4" s="1317"/>
      <c r="FR4" s="1317"/>
      <c r="FS4" s="1317"/>
      <c r="FT4" s="1317"/>
      <c r="FU4" s="1317"/>
      <c r="FV4" s="1317"/>
      <c r="FW4" s="1317"/>
      <c r="FX4" s="1317"/>
      <c r="FY4" s="1317"/>
      <c r="FZ4" s="1317"/>
      <c r="GA4" s="1317"/>
      <c r="GB4" s="1317"/>
      <c r="GC4" s="1317"/>
      <c r="GD4" s="1317"/>
      <c r="GE4" s="1317"/>
      <c r="GF4" s="1317"/>
      <c r="GG4" s="1317"/>
      <c r="GH4" s="1317"/>
      <c r="GI4" s="1317"/>
      <c r="GJ4" s="1317"/>
      <c r="GK4" s="1317"/>
      <c r="GL4" s="1317"/>
      <c r="GM4" s="1317"/>
      <c r="GN4" s="1317"/>
      <c r="GO4" s="1317"/>
      <c r="GP4" s="1317"/>
      <c r="GQ4" s="1317"/>
      <c r="GR4" s="1317"/>
      <c r="GS4" s="1317"/>
      <c r="GT4" s="1317"/>
      <c r="GU4" s="1317"/>
      <c r="GV4" s="1317"/>
      <c r="GW4" s="1317"/>
      <c r="GX4" s="1317"/>
      <c r="GY4" s="1317"/>
      <c r="GZ4" s="1317"/>
      <c r="HA4" s="1317"/>
      <c r="HB4" s="1317"/>
      <c r="HC4" s="1317"/>
      <c r="HD4" s="1317"/>
      <c r="HE4" s="1317"/>
      <c r="HF4" s="1317"/>
      <c r="HG4" s="1317"/>
      <c r="HH4" s="1317"/>
      <c r="HI4" s="1317"/>
      <c r="HJ4" s="1317"/>
      <c r="HK4" s="1317"/>
      <c r="HL4" s="1317"/>
      <c r="HM4" s="1317"/>
      <c r="HN4" s="1317"/>
      <c r="HO4" s="1317"/>
      <c r="HP4" s="1317"/>
      <c r="HQ4" s="1317"/>
      <c r="HR4" s="1317"/>
      <c r="HS4" s="1317"/>
      <c r="HT4" s="1317"/>
      <c r="HU4" s="1317"/>
      <c r="HV4" s="1317"/>
      <c r="HW4" s="1317"/>
      <c r="HX4" s="1317"/>
      <c r="HY4" s="1317"/>
      <c r="HZ4" s="1317"/>
      <c r="IA4" s="1317"/>
      <c r="IB4" s="1317"/>
      <c r="IC4" s="1317"/>
      <c r="ID4" s="1317"/>
      <c r="IE4" s="1317"/>
      <c r="IF4" s="1317"/>
      <c r="IG4" s="1317"/>
      <c r="IH4" s="1317"/>
      <c r="II4" s="1317"/>
      <c r="IJ4" s="1317"/>
      <c r="IK4" s="1317"/>
      <c r="IL4" s="1317"/>
      <c r="IM4" s="1317"/>
      <c r="IN4" s="1317"/>
      <c r="IO4" s="1317"/>
      <c r="IP4" s="1317"/>
      <c r="IQ4" s="1317"/>
      <c r="IR4" s="1317"/>
      <c r="IS4" s="1317"/>
      <c r="IT4" s="1317"/>
      <c r="IU4" s="1317"/>
      <c r="IV4" s="1317"/>
    </row>
    <row r="5" spans="1:256" ht="15.75">
      <c r="A5" s="2047"/>
      <c r="B5" s="2048"/>
      <c r="C5" s="2050" t="s">
        <v>768</v>
      </c>
      <c r="D5" s="2050"/>
      <c r="E5" s="1317"/>
      <c r="F5" s="1317"/>
      <c r="G5" s="1317"/>
      <c r="H5" s="1317"/>
      <c r="I5" s="1317"/>
      <c r="J5" s="1317"/>
      <c r="K5" s="1317"/>
      <c r="L5" s="1317"/>
      <c r="M5" s="1317"/>
      <c r="N5" s="1317"/>
      <c r="O5" s="1317"/>
      <c r="P5" s="1317"/>
      <c r="Q5" s="1317"/>
      <c r="R5" s="1317"/>
      <c r="S5" s="1317"/>
      <c r="T5" s="1317"/>
      <c r="U5" s="1317"/>
      <c r="V5" s="1317"/>
      <c r="W5" s="1317"/>
      <c r="X5" s="1317"/>
      <c r="Y5" s="1317"/>
      <c r="Z5" s="1317"/>
      <c r="AA5" s="1317"/>
      <c r="AB5" s="1317"/>
      <c r="AC5" s="1317"/>
      <c r="AD5" s="1317"/>
      <c r="AE5" s="1317"/>
      <c r="AF5" s="1317"/>
      <c r="AG5" s="1317"/>
      <c r="AH5" s="1317"/>
      <c r="AI5" s="1317"/>
      <c r="AJ5" s="1317"/>
      <c r="AK5" s="1317"/>
      <c r="AL5" s="1317"/>
      <c r="AM5" s="1317"/>
      <c r="AN5" s="1317"/>
      <c r="AO5" s="1317"/>
      <c r="AP5" s="1317"/>
      <c r="AQ5" s="1317"/>
      <c r="AR5" s="1317"/>
      <c r="AS5" s="1317"/>
      <c r="AT5" s="1317"/>
      <c r="AU5" s="1317"/>
      <c r="AV5" s="1317"/>
      <c r="AW5" s="1317"/>
      <c r="AX5" s="1317"/>
      <c r="AY5" s="1317"/>
      <c r="AZ5" s="1317"/>
      <c r="BA5" s="1317"/>
      <c r="BB5" s="1317"/>
      <c r="BC5" s="1317"/>
      <c r="BD5" s="1317"/>
      <c r="BE5" s="1317"/>
      <c r="BF5" s="1317"/>
      <c r="BG5" s="1317"/>
      <c r="BH5" s="1317"/>
      <c r="BI5" s="1317"/>
      <c r="BJ5" s="1317"/>
      <c r="BK5" s="1317"/>
      <c r="BL5" s="1317"/>
      <c r="BM5" s="1317"/>
      <c r="BN5" s="1317"/>
      <c r="BO5" s="1317"/>
      <c r="BP5" s="1317"/>
      <c r="BQ5" s="1317"/>
      <c r="BR5" s="1317"/>
      <c r="BS5" s="1317"/>
      <c r="BT5" s="1317"/>
      <c r="BU5" s="1317"/>
      <c r="BV5" s="1317"/>
      <c r="BW5" s="1317"/>
      <c r="BX5" s="1317"/>
      <c r="BY5" s="1317"/>
      <c r="BZ5" s="1317"/>
      <c r="CA5" s="1317"/>
      <c r="CB5" s="1317"/>
      <c r="CC5" s="1317"/>
      <c r="CD5" s="1317"/>
      <c r="CE5" s="1317"/>
      <c r="CF5" s="1317"/>
      <c r="CG5" s="1317"/>
      <c r="CH5" s="1317"/>
      <c r="CI5" s="1317"/>
      <c r="CJ5" s="1317"/>
      <c r="CK5" s="1317"/>
      <c r="CL5" s="1317"/>
      <c r="CM5" s="1317"/>
      <c r="CN5" s="1317"/>
      <c r="CO5" s="1317"/>
      <c r="CP5" s="1317"/>
      <c r="CQ5" s="1317"/>
      <c r="CR5" s="1317"/>
      <c r="CS5" s="1317"/>
      <c r="CT5" s="1317"/>
      <c r="CU5" s="1317"/>
      <c r="CV5" s="1317"/>
      <c r="CW5" s="1317"/>
      <c r="CX5" s="1317"/>
      <c r="CY5" s="1317"/>
      <c r="CZ5" s="1317"/>
      <c r="DA5" s="1317"/>
      <c r="DB5" s="1317"/>
      <c r="DC5" s="1317"/>
      <c r="DD5" s="1317"/>
      <c r="DE5" s="1317"/>
      <c r="DF5" s="1317"/>
      <c r="DG5" s="1317"/>
      <c r="DH5" s="1317"/>
      <c r="DI5" s="1317"/>
      <c r="DJ5" s="1317"/>
      <c r="DK5" s="1317"/>
      <c r="DL5" s="1317"/>
      <c r="DM5" s="1317"/>
      <c r="DN5" s="1317"/>
      <c r="DO5" s="1317"/>
      <c r="DP5" s="1317"/>
      <c r="DQ5" s="1317"/>
      <c r="DR5" s="1317"/>
      <c r="DS5" s="1317"/>
      <c r="DT5" s="1317"/>
      <c r="DU5" s="1317"/>
      <c r="DV5" s="1317"/>
      <c r="DW5" s="1317"/>
      <c r="DX5" s="1317"/>
      <c r="DY5" s="1317"/>
      <c r="DZ5" s="1317"/>
      <c r="EA5" s="1317"/>
      <c r="EB5" s="1317"/>
      <c r="EC5" s="1317"/>
      <c r="ED5" s="1317"/>
      <c r="EE5" s="1317"/>
      <c r="EF5" s="1317"/>
      <c r="EG5" s="1317"/>
      <c r="EH5" s="1317"/>
      <c r="EI5" s="1317"/>
      <c r="EJ5" s="1317"/>
      <c r="EK5" s="1317"/>
      <c r="EL5" s="1317"/>
      <c r="EM5" s="1317"/>
      <c r="EN5" s="1317"/>
      <c r="EO5" s="1317"/>
      <c r="EP5" s="1317"/>
      <c r="EQ5" s="1317"/>
      <c r="ER5" s="1317"/>
      <c r="ES5" s="1317"/>
      <c r="ET5" s="1317"/>
      <c r="EU5" s="1317"/>
      <c r="EV5" s="1317"/>
      <c r="EW5" s="1317"/>
      <c r="EX5" s="1317"/>
      <c r="EY5" s="1317"/>
      <c r="EZ5" s="1317"/>
      <c r="FA5" s="1317"/>
      <c r="FB5" s="1317"/>
      <c r="FC5" s="1317"/>
      <c r="FD5" s="1317"/>
      <c r="FE5" s="1317"/>
      <c r="FF5" s="1317"/>
      <c r="FG5" s="1317"/>
      <c r="FH5" s="1317"/>
      <c r="FI5" s="1317"/>
      <c r="FJ5" s="1317"/>
      <c r="FK5" s="1317"/>
      <c r="FL5" s="1317"/>
      <c r="FM5" s="1317"/>
      <c r="FN5" s="1317"/>
      <c r="FO5" s="1317"/>
      <c r="FP5" s="1317"/>
      <c r="FQ5" s="1317"/>
      <c r="FR5" s="1317"/>
      <c r="FS5" s="1317"/>
      <c r="FT5" s="1317"/>
      <c r="FU5" s="1317"/>
      <c r="FV5" s="1317"/>
      <c r="FW5" s="1317"/>
      <c r="FX5" s="1317"/>
      <c r="FY5" s="1317"/>
      <c r="FZ5" s="1317"/>
      <c r="GA5" s="1317"/>
      <c r="GB5" s="1317"/>
      <c r="GC5" s="1317"/>
      <c r="GD5" s="1317"/>
      <c r="GE5" s="1317"/>
      <c r="GF5" s="1317"/>
      <c r="GG5" s="1317"/>
      <c r="GH5" s="1317"/>
      <c r="GI5" s="1317"/>
      <c r="GJ5" s="1317"/>
      <c r="GK5" s="1317"/>
      <c r="GL5" s="1317"/>
      <c r="GM5" s="1317"/>
      <c r="GN5" s="1317"/>
      <c r="GO5" s="1317"/>
      <c r="GP5" s="1317"/>
      <c r="GQ5" s="1317"/>
      <c r="GR5" s="1317"/>
      <c r="GS5" s="1317"/>
      <c r="GT5" s="1317"/>
      <c r="GU5" s="1317"/>
      <c r="GV5" s="1317"/>
      <c r="GW5" s="1317"/>
      <c r="GX5" s="1317"/>
      <c r="GY5" s="1317"/>
      <c r="GZ5" s="1317"/>
      <c r="HA5" s="1317"/>
      <c r="HB5" s="1317"/>
      <c r="HC5" s="1317"/>
      <c r="HD5" s="1317"/>
      <c r="HE5" s="1317"/>
      <c r="HF5" s="1317"/>
      <c r="HG5" s="1317"/>
      <c r="HH5" s="1317"/>
      <c r="HI5" s="1317"/>
      <c r="HJ5" s="1317"/>
      <c r="HK5" s="1317"/>
      <c r="HL5" s="1317"/>
      <c r="HM5" s="1317"/>
      <c r="HN5" s="1317"/>
      <c r="HO5" s="1317"/>
      <c r="HP5" s="1317"/>
      <c r="HQ5" s="1317"/>
      <c r="HR5" s="1317"/>
      <c r="HS5" s="1317"/>
      <c r="HT5" s="1317"/>
      <c r="HU5" s="1317"/>
      <c r="HV5" s="1317"/>
      <c r="HW5" s="1317"/>
      <c r="HX5" s="1317"/>
      <c r="HY5" s="1317"/>
      <c r="HZ5" s="1317"/>
      <c r="IA5" s="1317"/>
      <c r="IB5" s="1317"/>
      <c r="IC5" s="1317"/>
      <c r="ID5" s="1317"/>
      <c r="IE5" s="1317"/>
      <c r="IF5" s="1317"/>
      <c r="IG5" s="1317"/>
      <c r="IH5" s="1317"/>
      <c r="II5" s="1317"/>
      <c r="IJ5" s="1317"/>
      <c r="IK5" s="1317"/>
      <c r="IL5" s="1317"/>
      <c r="IM5" s="1317"/>
      <c r="IN5" s="1317"/>
      <c r="IO5" s="1317"/>
      <c r="IP5" s="1317"/>
      <c r="IQ5" s="1317"/>
      <c r="IR5" s="1317"/>
      <c r="IS5" s="1317"/>
      <c r="IT5" s="1317"/>
      <c r="IU5" s="1317"/>
      <c r="IV5" s="1317"/>
    </row>
    <row r="6" spans="1:256" ht="16.5" thickBot="1">
      <c r="A6" s="1360" t="s">
        <v>769</v>
      </c>
      <c r="B6" s="1361" t="s">
        <v>14</v>
      </c>
      <c r="C6" s="1361" t="s">
        <v>547</v>
      </c>
      <c r="D6" s="1361" t="s">
        <v>548</v>
      </c>
      <c r="E6" s="1321"/>
      <c r="F6" s="1321"/>
      <c r="G6" s="1321"/>
      <c r="H6" s="1321"/>
      <c r="I6" s="1321"/>
      <c r="J6" s="1321"/>
      <c r="K6" s="1321"/>
      <c r="L6" s="1321"/>
      <c r="M6" s="1321"/>
      <c r="N6" s="1321"/>
      <c r="O6" s="1321"/>
      <c r="P6" s="1321"/>
      <c r="Q6" s="1321"/>
      <c r="R6" s="1321"/>
      <c r="S6" s="1321"/>
      <c r="T6" s="1321"/>
      <c r="U6" s="1321"/>
      <c r="V6" s="1321"/>
      <c r="W6" s="1321"/>
      <c r="X6" s="1321"/>
      <c r="Y6" s="1321"/>
      <c r="Z6" s="1321"/>
      <c r="AA6" s="1321"/>
      <c r="AB6" s="1321"/>
      <c r="AC6" s="1321"/>
      <c r="AD6" s="1321"/>
      <c r="AE6" s="1321"/>
      <c r="AF6" s="1321"/>
      <c r="AG6" s="1321"/>
      <c r="AH6" s="1321"/>
      <c r="AI6" s="1321"/>
      <c r="AJ6" s="1321"/>
      <c r="AK6" s="1321"/>
      <c r="AL6" s="1321"/>
      <c r="AM6" s="1321"/>
      <c r="AN6" s="1321"/>
      <c r="AO6" s="1321"/>
      <c r="AP6" s="1321"/>
      <c r="AQ6" s="1321"/>
      <c r="AR6" s="1321"/>
      <c r="AS6" s="1321"/>
      <c r="AT6" s="1321"/>
      <c r="AU6" s="1321"/>
      <c r="AV6" s="1321"/>
      <c r="AW6" s="1321"/>
      <c r="AX6" s="1321"/>
      <c r="AY6" s="1321"/>
      <c r="AZ6" s="1321"/>
      <c r="BA6" s="1321"/>
      <c r="BB6" s="1321"/>
      <c r="BC6" s="1321"/>
      <c r="BD6" s="1321"/>
      <c r="BE6" s="1321"/>
      <c r="BF6" s="1321"/>
      <c r="BG6" s="1321"/>
      <c r="BH6" s="1321"/>
      <c r="BI6" s="1321"/>
      <c r="BJ6" s="1321"/>
      <c r="BK6" s="1321"/>
      <c r="BL6" s="1321"/>
      <c r="BM6" s="1321"/>
      <c r="BN6" s="1321"/>
      <c r="BO6" s="1321"/>
      <c r="BP6" s="1321"/>
      <c r="BQ6" s="1321"/>
      <c r="BR6" s="1321"/>
      <c r="BS6" s="1321"/>
      <c r="BT6" s="1321"/>
      <c r="BU6" s="1321"/>
      <c r="BV6" s="1321"/>
      <c r="BW6" s="1321"/>
      <c r="BX6" s="1321"/>
      <c r="BY6" s="1321"/>
      <c r="BZ6" s="1321"/>
      <c r="CA6" s="1321"/>
      <c r="CB6" s="1321"/>
      <c r="CC6" s="1321"/>
      <c r="CD6" s="1321"/>
      <c r="CE6" s="1321"/>
      <c r="CF6" s="1321"/>
      <c r="CG6" s="1321"/>
      <c r="CH6" s="1321"/>
      <c r="CI6" s="1321"/>
      <c r="CJ6" s="1321"/>
      <c r="CK6" s="1321"/>
      <c r="CL6" s="1321"/>
      <c r="CM6" s="1321"/>
      <c r="CN6" s="1321"/>
      <c r="CO6" s="1321"/>
      <c r="CP6" s="1321"/>
      <c r="CQ6" s="1321"/>
      <c r="CR6" s="1321"/>
      <c r="CS6" s="1321"/>
      <c r="CT6" s="1321"/>
      <c r="CU6" s="1321"/>
      <c r="CV6" s="1321"/>
      <c r="CW6" s="1321"/>
      <c r="CX6" s="1321"/>
      <c r="CY6" s="1321"/>
      <c r="CZ6" s="1321"/>
      <c r="DA6" s="1321"/>
      <c r="DB6" s="1321"/>
      <c r="DC6" s="1321"/>
      <c r="DD6" s="1321"/>
      <c r="DE6" s="1321"/>
      <c r="DF6" s="1321"/>
      <c r="DG6" s="1321"/>
      <c r="DH6" s="1321"/>
      <c r="DI6" s="1321"/>
      <c r="DJ6" s="1321"/>
      <c r="DK6" s="1321"/>
      <c r="DL6" s="1321"/>
      <c r="DM6" s="1321"/>
      <c r="DN6" s="1321"/>
      <c r="DO6" s="1321"/>
      <c r="DP6" s="1321"/>
      <c r="DQ6" s="1321"/>
      <c r="DR6" s="1321"/>
      <c r="DS6" s="1321"/>
      <c r="DT6" s="1321"/>
      <c r="DU6" s="1321"/>
      <c r="DV6" s="1321"/>
      <c r="DW6" s="1321"/>
      <c r="DX6" s="1321"/>
      <c r="DY6" s="1321"/>
      <c r="DZ6" s="1321"/>
      <c r="EA6" s="1321"/>
      <c r="EB6" s="1321"/>
      <c r="EC6" s="1321"/>
      <c r="ED6" s="1321"/>
      <c r="EE6" s="1321"/>
      <c r="EF6" s="1321"/>
      <c r="EG6" s="1321"/>
      <c r="EH6" s="1321"/>
      <c r="EI6" s="1321"/>
      <c r="EJ6" s="1321"/>
      <c r="EK6" s="1321"/>
      <c r="EL6" s="1321"/>
      <c r="EM6" s="1321"/>
      <c r="EN6" s="1321"/>
      <c r="EO6" s="1321"/>
      <c r="EP6" s="1321"/>
      <c r="EQ6" s="1321"/>
      <c r="ER6" s="1321"/>
      <c r="ES6" s="1321"/>
      <c r="ET6" s="1321"/>
      <c r="EU6" s="1321"/>
      <c r="EV6" s="1321"/>
      <c r="EW6" s="1321"/>
      <c r="EX6" s="1321"/>
      <c r="EY6" s="1321"/>
      <c r="EZ6" s="1321"/>
      <c r="FA6" s="1321"/>
      <c r="FB6" s="1321"/>
      <c r="FC6" s="1321"/>
      <c r="FD6" s="1321"/>
      <c r="FE6" s="1321"/>
      <c r="FF6" s="1321"/>
      <c r="FG6" s="1321"/>
      <c r="FH6" s="1321"/>
      <c r="FI6" s="1321"/>
      <c r="FJ6" s="1321"/>
      <c r="FK6" s="1321"/>
      <c r="FL6" s="1321"/>
      <c r="FM6" s="1321"/>
      <c r="FN6" s="1321"/>
      <c r="FO6" s="1321"/>
      <c r="FP6" s="1321"/>
      <c r="FQ6" s="1321"/>
      <c r="FR6" s="1321"/>
      <c r="FS6" s="1321"/>
      <c r="FT6" s="1321"/>
      <c r="FU6" s="1321"/>
      <c r="FV6" s="1321"/>
      <c r="FW6" s="1321"/>
      <c r="FX6" s="1321"/>
      <c r="FY6" s="1321"/>
      <c r="FZ6" s="1321"/>
      <c r="GA6" s="1321"/>
      <c r="GB6" s="1321"/>
      <c r="GC6" s="1321"/>
      <c r="GD6" s="1321"/>
      <c r="GE6" s="1321"/>
      <c r="GF6" s="1321"/>
      <c r="GG6" s="1321"/>
      <c r="GH6" s="1321"/>
      <c r="GI6" s="1321"/>
      <c r="GJ6" s="1321"/>
      <c r="GK6" s="1321"/>
      <c r="GL6" s="1321"/>
      <c r="GM6" s="1321"/>
      <c r="GN6" s="1321"/>
      <c r="GO6" s="1321"/>
      <c r="GP6" s="1321"/>
      <c r="GQ6" s="1321"/>
      <c r="GR6" s="1321"/>
      <c r="GS6" s="1321"/>
      <c r="GT6" s="1321"/>
      <c r="GU6" s="1321"/>
      <c r="GV6" s="1321"/>
      <c r="GW6" s="1321"/>
      <c r="GX6" s="1321"/>
      <c r="GY6" s="1321"/>
      <c r="GZ6" s="1321"/>
      <c r="HA6" s="1321"/>
      <c r="HB6" s="1321"/>
      <c r="HC6" s="1321"/>
      <c r="HD6" s="1321"/>
      <c r="HE6" s="1321"/>
      <c r="HF6" s="1321"/>
      <c r="HG6" s="1321"/>
      <c r="HH6" s="1321"/>
      <c r="HI6" s="1321"/>
      <c r="HJ6" s="1321"/>
      <c r="HK6" s="1321"/>
      <c r="HL6" s="1321"/>
      <c r="HM6" s="1321"/>
      <c r="HN6" s="1321"/>
      <c r="HO6" s="1321"/>
      <c r="HP6" s="1321"/>
      <c r="HQ6" s="1321"/>
      <c r="HR6" s="1321"/>
      <c r="HS6" s="1321"/>
      <c r="HT6" s="1321"/>
      <c r="HU6" s="1321"/>
      <c r="HV6" s="1321"/>
      <c r="HW6" s="1321"/>
      <c r="HX6" s="1321"/>
      <c r="HY6" s="1321"/>
      <c r="HZ6" s="1321"/>
      <c r="IA6" s="1321"/>
      <c r="IB6" s="1321"/>
      <c r="IC6" s="1321"/>
      <c r="ID6" s="1321"/>
      <c r="IE6" s="1321"/>
      <c r="IF6" s="1321"/>
      <c r="IG6" s="1321"/>
      <c r="IH6" s="1321"/>
      <c r="II6" s="1321"/>
      <c r="IJ6" s="1321"/>
      <c r="IK6" s="1321"/>
      <c r="IL6" s="1321"/>
      <c r="IM6" s="1321"/>
      <c r="IN6" s="1321"/>
      <c r="IO6" s="1321"/>
      <c r="IP6" s="1321"/>
      <c r="IQ6" s="1321"/>
      <c r="IR6" s="1321"/>
      <c r="IS6" s="1321"/>
      <c r="IT6" s="1321"/>
      <c r="IU6" s="1321"/>
      <c r="IV6" s="1321"/>
    </row>
    <row r="7" spans="1:256" ht="15.75">
      <c r="A7" s="1362" t="s">
        <v>770</v>
      </c>
      <c r="B7" s="1363" t="s">
        <v>771</v>
      </c>
      <c r="C7" s="1364">
        <f>SUM(C8:C11)</f>
        <v>5512817</v>
      </c>
      <c r="D7" s="1364">
        <f>SUM(D8:D11)</f>
        <v>0</v>
      </c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1325"/>
      <c r="AN7" s="1325"/>
      <c r="AO7" s="1325"/>
      <c r="AP7" s="1325"/>
      <c r="AQ7" s="1325"/>
      <c r="AR7" s="1325"/>
      <c r="AS7" s="1325"/>
      <c r="AT7" s="1325"/>
      <c r="AU7" s="1325"/>
      <c r="AV7" s="1325"/>
      <c r="AW7" s="1325"/>
      <c r="AX7" s="1325"/>
      <c r="AY7" s="1325"/>
      <c r="AZ7" s="1325"/>
      <c r="BA7" s="1325"/>
      <c r="BB7" s="1325"/>
      <c r="BC7" s="1325"/>
      <c r="BD7" s="1325"/>
      <c r="BE7" s="1325"/>
      <c r="BF7" s="1325"/>
      <c r="BG7" s="1325"/>
      <c r="BH7" s="1325"/>
      <c r="BI7" s="1325"/>
      <c r="BJ7" s="1325"/>
      <c r="BK7" s="1325"/>
      <c r="BL7" s="1325"/>
      <c r="BM7" s="1325"/>
      <c r="BN7" s="1325"/>
      <c r="BO7" s="1325"/>
      <c r="BP7" s="1325"/>
      <c r="BQ7" s="1325"/>
      <c r="BR7" s="1325"/>
      <c r="BS7" s="1325"/>
      <c r="BT7" s="1325"/>
      <c r="BU7" s="1325"/>
      <c r="BV7" s="1325"/>
      <c r="BW7" s="1325"/>
      <c r="BX7" s="1325"/>
      <c r="BY7" s="1325"/>
      <c r="BZ7" s="1325"/>
      <c r="CA7" s="1325"/>
      <c r="CB7" s="1325"/>
      <c r="CC7" s="1325"/>
      <c r="CD7" s="1325"/>
      <c r="CE7" s="1325"/>
      <c r="CF7" s="1325"/>
      <c r="CG7" s="1325"/>
      <c r="CH7" s="1325"/>
      <c r="CI7" s="1325"/>
      <c r="CJ7" s="1325"/>
      <c r="CK7" s="1325"/>
      <c r="CL7" s="1325"/>
      <c r="CM7" s="1325"/>
      <c r="CN7" s="1325"/>
      <c r="CO7" s="1325"/>
      <c r="CP7" s="1325"/>
      <c r="CQ7" s="1325"/>
      <c r="CR7" s="1325"/>
      <c r="CS7" s="1325"/>
      <c r="CT7" s="1325"/>
      <c r="CU7" s="1325"/>
      <c r="CV7" s="1325"/>
      <c r="CW7" s="1325"/>
      <c r="CX7" s="1325"/>
      <c r="CY7" s="1325"/>
      <c r="CZ7" s="1325"/>
      <c r="DA7" s="1325"/>
      <c r="DB7" s="1325"/>
      <c r="DC7" s="1325"/>
      <c r="DD7" s="1325"/>
      <c r="DE7" s="1325"/>
      <c r="DF7" s="1325"/>
      <c r="DG7" s="1325"/>
      <c r="DH7" s="1325"/>
      <c r="DI7" s="1325"/>
      <c r="DJ7" s="1325"/>
      <c r="DK7" s="1325"/>
      <c r="DL7" s="1325"/>
      <c r="DM7" s="1325"/>
      <c r="DN7" s="1325"/>
      <c r="DO7" s="1325"/>
      <c r="DP7" s="1325"/>
      <c r="DQ7" s="1325"/>
      <c r="DR7" s="1325"/>
      <c r="DS7" s="1325"/>
      <c r="DT7" s="1325"/>
      <c r="DU7" s="1325"/>
      <c r="DV7" s="1325"/>
      <c r="DW7" s="1325"/>
      <c r="DX7" s="1325"/>
      <c r="DY7" s="1325"/>
      <c r="DZ7" s="1325"/>
      <c r="EA7" s="1325"/>
      <c r="EB7" s="1325"/>
      <c r="EC7" s="1325"/>
      <c r="ED7" s="1325"/>
      <c r="EE7" s="1325"/>
      <c r="EF7" s="1325"/>
      <c r="EG7" s="1325"/>
      <c r="EH7" s="1325"/>
      <c r="EI7" s="1325"/>
      <c r="EJ7" s="1325"/>
      <c r="EK7" s="1325"/>
      <c r="EL7" s="1325"/>
      <c r="EM7" s="1325"/>
      <c r="EN7" s="1325"/>
      <c r="EO7" s="1325"/>
      <c r="EP7" s="1325"/>
      <c r="EQ7" s="1325"/>
      <c r="ER7" s="1325"/>
      <c r="ES7" s="1325"/>
      <c r="ET7" s="1325"/>
      <c r="EU7" s="1325"/>
      <c r="EV7" s="1325"/>
      <c r="EW7" s="1325"/>
      <c r="EX7" s="1325"/>
      <c r="EY7" s="1325"/>
      <c r="EZ7" s="1325"/>
      <c r="FA7" s="1325"/>
      <c r="FB7" s="1325"/>
      <c r="FC7" s="1325"/>
      <c r="FD7" s="1325"/>
      <c r="FE7" s="1325"/>
      <c r="FF7" s="1325"/>
      <c r="FG7" s="1325"/>
      <c r="FH7" s="1325"/>
      <c r="FI7" s="1325"/>
      <c r="FJ7" s="1325"/>
      <c r="FK7" s="1325"/>
      <c r="FL7" s="1325"/>
      <c r="FM7" s="1325"/>
      <c r="FN7" s="1325"/>
      <c r="FO7" s="1325"/>
      <c r="FP7" s="1325"/>
      <c r="FQ7" s="1325"/>
      <c r="FR7" s="1325"/>
      <c r="FS7" s="1325"/>
      <c r="FT7" s="1325"/>
      <c r="FU7" s="1325"/>
      <c r="FV7" s="1325"/>
      <c r="FW7" s="1325"/>
      <c r="FX7" s="1325"/>
      <c r="FY7" s="1325"/>
      <c r="FZ7" s="1325"/>
      <c r="GA7" s="1325"/>
      <c r="GB7" s="1325"/>
      <c r="GC7" s="1325"/>
      <c r="GD7" s="1325"/>
      <c r="GE7" s="1325"/>
      <c r="GF7" s="1325"/>
      <c r="GG7" s="1325"/>
      <c r="GH7" s="1325"/>
      <c r="GI7" s="1325"/>
      <c r="GJ7" s="1325"/>
      <c r="GK7" s="1325"/>
      <c r="GL7" s="1325"/>
      <c r="GM7" s="1325"/>
      <c r="GN7" s="1325"/>
      <c r="GO7" s="1325"/>
      <c r="GP7" s="1325"/>
      <c r="GQ7" s="1325"/>
      <c r="GR7" s="1325"/>
      <c r="GS7" s="1325"/>
      <c r="GT7" s="1325"/>
      <c r="GU7" s="1325"/>
      <c r="GV7" s="1325"/>
      <c r="GW7" s="1325"/>
      <c r="GX7" s="1325"/>
      <c r="GY7" s="1325"/>
      <c r="GZ7" s="1325"/>
      <c r="HA7" s="1325"/>
      <c r="HB7" s="1325"/>
      <c r="HC7" s="1325"/>
      <c r="HD7" s="1325"/>
      <c r="HE7" s="1325"/>
      <c r="HF7" s="1325"/>
      <c r="HG7" s="1325"/>
      <c r="HH7" s="1325"/>
      <c r="HI7" s="1325"/>
      <c r="HJ7" s="1325"/>
      <c r="HK7" s="1325"/>
      <c r="HL7" s="1325"/>
      <c r="HM7" s="1325"/>
      <c r="HN7" s="1325"/>
      <c r="HO7" s="1325"/>
      <c r="HP7" s="1325"/>
      <c r="HQ7" s="1325"/>
      <c r="HR7" s="1325"/>
      <c r="HS7" s="1325"/>
      <c r="HT7" s="1325"/>
      <c r="HU7" s="1325"/>
      <c r="HV7" s="1325"/>
      <c r="HW7" s="1325"/>
      <c r="HX7" s="1325"/>
      <c r="HY7" s="1325"/>
      <c r="HZ7" s="1325"/>
      <c r="IA7" s="1325"/>
      <c r="IB7" s="1325"/>
      <c r="IC7" s="1325"/>
      <c r="ID7" s="1325"/>
      <c r="IE7" s="1325"/>
      <c r="IF7" s="1325"/>
      <c r="IG7" s="1325"/>
      <c r="IH7" s="1325"/>
      <c r="II7" s="1325"/>
      <c r="IJ7" s="1325"/>
      <c r="IK7" s="1325"/>
      <c r="IL7" s="1325"/>
      <c r="IM7" s="1325"/>
      <c r="IN7" s="1325"/>
      <c r="IO7" s="1325"/>
      <c r="IP7" s="1325"/>
      <c r="IQ7" s="1325"/>
      <c r="IR7" s="1325"/>
      <c r="IS7" s="1325"/>
      <c r="IT7" s="1325"/>
      <c r="IU7" s="1325"/>
      <c r="IV7" s="1325"/>
    </row>
    <row r="8" spans="1:256" ht="15.75">
      <c r="A8" s="1365" t="s">
        <v>772</v>
      </c>
      <c r="B8" s="1366" t="s">
        <v>773</v>
      </c>
      <c r="C8" s="1367"/>
      <c r="D8" s="1367"/>
      <c r="E8" s="1325"/>
      <c r="F8" s="1325"/>
      <c r="G8" s="1325"/>
      <c r="H8" s="1325"/>
      <c r="I8" s="1325"/>
      <c r="J8" s="1325"/>
      <c r="K8" s="1325"/>
      <c r="L8" s="1325"/>
      <c r="M8" s="1325"/>
      <c r="N8" s="1325"/>
      <c r="O8" s="1325"/>
      <c r="P8" s="1325"/>
      <c r="Q8" s="1325"/>
      <c r="R8" s="1325"/>
      <c r="S8" s="1325"/>
      <c r="T8" s="1325"/>
      <c r="U8" s="1325"/>
      <c r="V8" s="1325"/>
      <c r="W8" s="1325"/>
      <c r="X8" s="1325"/>
      <c r="Y8" s="1325"/>
      <c r="Z8" s="1325"/>
      <c r="AA8" s="1325"/>
      <c r="AB8" s="1325"/>
      <c r="AC8" s="1325"/>
      <c r="AD8" s="1325"/>
      <c r="AE8" s="1325"/>
      <c r="AF8" s="1325"/>
      <c r="AG8" s="1325"/>
      <c r="AH8" s="1325"/>
      <c r="AI8" s="1325"/>
      <c r="AJ8" s="1325"/>
      <c r="AK8" s="1325"/>
      <c r="AL8" s="1325"/>
      <c r="AM8" s="1325"/>
      <c r="AN8" s="1325"/>
      <c r="AO8" s="1325"/>
      <c r="AP8" s="1325"/>
      <c r="AQ8" s="1325"/>
      <c r="AR8" s="1325"/>
      <c r="AS8" s="1325"/>
      <c r="AT8" s="1325"/>
      <c r="AU8" s="1325"/>
      <c r="AV8" s="1325"/>
      <c r="AW8" s="1325"/>
      <c r="AX8" s="1325"/>
      <c r="AY8" s="1325"/>
      <c r="AZ8" s="1325"/>
      <c r="BA8" s="1325"/>
      <c r="BB8" s="1325"/>
      <c r="BC8" s="1325"/>
      <c r="BD8" s="1325"/>
      <c r="BE8" s="1325"/>
      <c r="BF8" s="1325"/>
      <c r="BG8" s="1325"/>
      <c r="BH8" s="1325"/>
      <c r="BI8" s="1325"/>
      <c r="BJ8" s="1325"/>
      <c r="BK8" s="1325"/>
      <c r="BL8" s="1325"/>
      <c r="BM8" s="1325"/>
      <c r="BN8" s="1325"/>
      <c r="BO8" s="1325"/>
      <c r="BP8" s="1325"/>
      <c r="BQ8" s="1325"/>
      <c r="BR8" s="1325"/>
      <c r="BS8" s="1325"/>
      <c r="BT8" s="1325"/>
      <c r="BU8" s="1325"/>
      <c r="BV8" s="1325"/>
      <c r="BW8" s="1325"/>
      <c r="BX8" s="1325"/>
      <c r="BY8" s="1325"/>
      <c r="BZ8" s="1325"/>
      <c r="CA8" s="1325"/>
      <c r="CB8" s="1325"/>
      <c r="CC8" s="1325"/>
      <c r="CD8" s="1325"/>
      <c r="CE8" s="1325"/>
      <c r="CF8" s="1325"/>
      <c r="CG8" s="1325"/>
      <c r="CH8" s="1325"/>
      <c r="CI8" s="1325"/>
      <c r="CJ8" s="1325"/>
      <c r="CK8" s="1325"/>
      <c r="CL8" s="1325"/>
      <c r="CM8" s="1325"/>
      <c r="CN8" s="1325"/>
      <c r="CO8" s="1325"/>
      <c r="CP8" s="1325"/>
      <c r="CQ8" s="1325"/>
      <c r="CR8" s="1325"/>
      <c r="CS8" s="1325"/>
      <c r="CT8" s="1325"/>
      <c r="CU8" s="1325"/>
      <c r="CV8" s="1325"/>
      <c r="CW8" s="1325"/>
      <c r="CX8" s="1325"/>
      <c r="CY8" s="1325"/>
      <c r="CZ8" s="1325"/>
      <c r="DA8" s="1325"/>
      <c r="DB8" s="1325"/>
      <c r="DC8" s="1325"/>
      <c r="DD8" s="1325"/>
      <c r="DE8" s="1325"/>
      <c r="DF8" s="1325"/>
      <c r="DG8" s="1325"/>
      <c r="DH8" s="1325"/>
      <c r="DI8" s="1325"/>
      <c r="DJ8" s="1325"/>
      <c r="DK8" s="1325"/>
      <c r="DL8" s="1325"/>
      <c r="DM8" s="1325"/>
      <c r="DN8" s="1325"/>
      <c r="DO8" s="1325"/>
      <c r="DP8" s="1325"/>
      <c r="DQ8" s="1325"/>
      <c r="DR8" s="1325"/>
      <c r="DS8" s="1325"/>
      <c r="DT8" s="1325"/>
      <c r="DU8" s="1325"/>
      <c r="DV8" s="1325"/>
      <c r="DW8" s="1325"/>
      <c r="DX8" s="1325"/>
      <c r="DY8" s="1325"/>
      <c r="DZ8" s="1325"/>
      <c r="EA8" s="1325"/>
      <c r="EB8" s="1325"/>
      <c r="EC8" s="1325"/>
      <c r="ED8" s="1325"/>
      <c r="EE8" s="1325"/>
      <c r="EF8" s="1325"/>
      <c r="EG8" s="1325"/>
      <c r="EH8" s="1325"/>
      <c r="EI8" s="1325"/>
      <c r="EJ8" s="1325"/>
      <c r="EK8" s="1325"/>
      <c r="EL8" s="1325"/>
      <c r="EM8" s="1325"/>
      <c r="EN8" s="1325"/>
      <c r="EO8" s="1325"/>
      <c r="EP8" s="1325"/>
      <c r="EQ8" s="1325"/>
      <c r="ER8" s="1325"/>
      <c r="ES8" s="1325"/>
      <c r="ET8" s="1325"/>
      <c r="EU8" s="1325"/>
      <c r="EV8" s="1325"/>
      <c r="EW8" s="1325"/>
      <c r="EX8" s="1325"/>
      <c r="EY8" s="1325"/>
      <c r="EZ8" s="1325"/>
      <c r="FA8" s="1325"/>
      <c r="FB8" s="1325"/>
      <c r="FC8" s="1325"/>
      <c r="FD8" s="1325"/>
      <c r="FE8" s="1325"/>
      <c r="FF8" s="1325"/>
      <c r="FG8" s="1325"/>
      <c r="FH8" s="1325"/>
      <c r="FI8" s="1325"/>
      <c r="FJ8" s="1325"/>
      <c r="FK8" s="1325"/>
      <c r="FL8" s="1325"/>
      <c r="FM8" s="1325"/>
      <c r="FN8" s="1325"/>
      <c r="FO8" s="1325"/>
      <c r="FP8" s="1325"/>
      <c r="FQ8" s="1325"/>
      <c r="FR8" s="1325"/>
      <c r="FS8" s="1325"/>
      <c r="FT8" s="1325"/>
      <c r="FU8" s="1325"/>
      <c r="FV8" s="1325"/>
      <c r="FW8" s="1325"/>
      <c r="FX8" s="1325"/>
      <c r="FY8" s="1325"/>
      <c r="FZ8" s="1325"/>
      <c r="GA8" s="1325"/>
      <c r="GB8" s="1325"/>
      <c r="GC8" s="1325"/>
      <c r="GD8" s="1325"/>
      <c r="GE8" s="1325"/>
      <c r="GF8" s="1325"/>
      <c r="GG8" s="1325"/>
      <c r="GH8" s="1325"/>
      <c r="GI8" s="1325"/>
      <c r="GJ8" s="1325"/>
      <c r="GK8" s="1325"/>
      <c r="GL8" s="1325"/>
      <c r="GM8" s="1325"/>
      <c r="GN8" s="1325"/>
      <c r="GO8" s="1325"/>
      <c r="GP8" s="1325"/>
      <c r="GQ8" s="1325"/>
      <c r="GR8" s="1325"/>
      <c r="GS8" s="1325"/>
      <c r="GT8" s="1325"/>
      <c r="GU8" s="1325"/>
      <c r="GV8" s="1325"/>
      <c r="GW8" s="1325"/>
      <c r="GX8" s="1325"/>
      <c r="GY8" s="1325"/>
      <c r="GZ8" s="1325"/>
      <c r="HA8" s="1325"/>
      <c r="HB8" s="1325"/>
      <c r="HC8" s="1325"/>
      <c r="HD8" s="1325"/>
      <c r="HE8" s="1325"/>
      <c r="HF8" s="1325"/>
      <c r="HG8" s="1325"/>
      <c r="HH8" s="1325"/>
      <c r="HI8" s="1325"/>
      <c r="HJ8" s="1325"/>
      <c r="HK8" s="1325"/>
      <c r="HL8" s="1325"/>
      <c r="HM8" s="1325"/>
      <c r="HN8" s="1325"/>
      <c r="HO8" s="1325"/>
      <c r="HP8" s="1325"/>
      <c r="HQ8" s="1325"/>
      <c r="HR8" s="1325"/>
      <c r="HS8" s="1325"/>
      <c r="HT8" s="1325"/>
      <c r="HU8" s="1325"/>
      <c r="HV8" s="1325"/>
      <c r="HW8" s="1325"/>
      <c r="HX8" s="1325"/>
      <c r="HY8" s="1325"/>
      <c r="HZ8" s="1325"/>
      <c r="IA8" s="1325"/>
      <c r="IB8" s="1325"/>
      <c r="IC8" s="1325"/>
      <c r="ID8" s="1325"/>
      <c r="IE8" s="1325"/>
      <c r="IF8" s="1325"/>
      <c r="IG8" s="1325"/>
      <c r="IH8" s="1325"/>
      <c r="II8" s="1325"/>
      <c r="IJ8" s="1325"/>
      <c r="IK8" s="1325"/>
      <c r="IL8" s="1325"/>
      <c r="IM8" s="1325"/>
      <c r="IN8" s="1325"/>
      <c r="IO8" s="1325"/>
      <c r="IP8" s="1325"/>
      <c r="IQ8" s="1325"/>
      <c r="IR8" s="1325"/>
      <c r="IS8" s="1325"/>
      <c r="IT8" s="1325"/>
      <c r="IU8" s="1325"/>
      <c r="IV8" s="1325"/>
    </row>
    <row r="9" spans="1:256" ht="47.25">
      <c r="A9" s="1365" t="s">
        <v>774</v>
      </c>
      <c r="B9" s="1366" t="s">
        <v>775</v>
      </c>
      <c r="C9" s="1367"/>
      <c r="D9" s="1367"/>
      <c r="E9" s="1325"/>
      <c r="F9" s="1325"/>
      <c r="G9" s="1325"/>
      <c r="H9" s="1325"/>
      <c r="I9" s="1325"/>
      <c r="J9" s="1325"/>
      <c r="K9" s="1325"/>
      <c r="L9" s="1325"/>
      <c r="M9" s="1325"/>
      <c r="N9" s="1325"/>
      <c r="O9" s="1325"/>
      <c r="P9" s="1325"/>
      <c r="Q9" s="1325"/>
      <c r="R9" s="1325"/>
      <c r="S9" s="1325"/>
      <c r="T9" s="1325"/>
      <c r="U9" s="1325"/>
      <c r="V9" s="1325"/>
      <c r="W9" s="1325"/>
      <c r="X9" s="1325"/>
      <c r="Y9" s="1325"/>
      <c r="Z9" s="1325"/>
      <c r="AA9" s="1325"/>
      <c r="AB9" s="1325"/>
      <c r="AC9" s="1325"/>
      <c r="AD9" s="1325"/>
      <c r="AE9" s="1325"/>
      <c r="AF9" s="1325"/>
      <c r="AG9" s="1325"/>
      <c r="AH9" s="1325"/>
      <c r="AI9" s="1325"/>
      <c r="AJ9" s="1325"/>
      <c r="AK9" s="1325"/>
      <c r="AL9" s="1325"/>
      <c r="AM9" s="1325"/>
      <c r="AN9" s="1325"/>
      <c r="AO9" s="1325"/>
      <c r="AP9" s="1325"/>
      <c r="AQ9" s="1325"/>
      <c r="AR9" s="1325"/>
      <c r="AS9" s="1325"/>
      <c r="AT9" s="1325"/>
      <c r="AU9" s="1325"/>
      <c r="AV9" s="1325"/>
      <c r="AW9" s="1325"/>
      <c r="AX9" s="1325"/>
      <c r="AY9" s="1325"/>
      <c r="AZ9" s="1325"/>
      <c r="BA9" s="1325"/>
      <c r="BB9" s="1325"/>
      <c r="BC9" s="1325"/>
      <c r="BD9" s="1325"/>
      <c r="BE9" s="1325"/>
      <c r="BF9" s="1325"/>
      <c r="BG9" s="1325"/>
      <c r="BH9" s="1325"/>
      <c r="BI9" s="1325"/>
      <c r="BJ9" s="1325"/>
      <c r="BK9" s="1325"/>
      <c r="BL9" s="1325"/>
      <c r="BM9" s="1325"/>
      <c r="BN9" s="1325"/>
      <c r="BO9" s="1325"/>
      <c r="BP9" s="1325"/>
      <c r="BQ9" s="1325"/>
      <c r="BR9" s="1325"/>
      <c r="BS9" s="1325"/>
      <c r="BT9" s="1325"/>
      <c r="BU9" s="1325"/>
      <c r="BV9" s="1325"/>
      <c r="BW9" s="1325"/>
      <c r="BX9" s="1325"/>
      <c r="BY9" s="1325"/>
      <c r="BZ9" s="1325"/>
      <c r="CA9" s="1325"/>
      <c r="CB9" s="1325"/>
      <c r="CC9" s="1325"/>
      <c r="CD9" s="1325"/>
      <c r="CE9" s="1325"/>
      <c r="CF9" s="1325"/>
      <c r="CG9" s="1325"/>
      <c r="CH9" s="1325"/>
      <c r="CI9" s="1325"/>
      <c r="CJ9" s="1325"/>
      <c r="CK9" s="1325"/>
      <c r="CL9" s="1325"/>
      <c r="CM9" s="1325"/>
      <c r="CN9" s="1325"/>
      <c r="CO9" s="1325"/>
      <c r="CP9" s="1325"/>
      <c r="CQ9" s="1325"/>
      <c r="CR9" s="1325"/>
      <c r="CS9" s="1325"/>
      <c r="CT9" s="1325"/>
      <c r="CU9" s="1325"/>
      <c r="CV9" s="1325"/>
      <c r="CW9" s="1325"/>
      <c r="CX9" s="1325"/>
      <c r="CY9" s="1325"/>
      <c r="CZ9" s="1325"/>
      <c r="DA9" s="1325"/>
      <c r="DB9" s="1325"/>
      <c r="DC9" s="1325"/>
      <c r="DD9" s="1325"/>
      <c r="DE9" s="1325"/>
      <c r="DF9" s="1325"/>
      <c r="DG9" s="1325"/>
      <c r="DH9" s="1325"/>
      <c r="DI9" s="1325"/>
      <c r="DJ9" s="1325"/>
      <c r="DK9" s="1325"/>
      <c r="DL9" s="1325"/>
      <c r="DM9" s="1325"/>
      <c r="DN9" s="1325"/>
      <c r="DO9" s="1325"/>
      <c r="DP9" s="1325"/>
      <c r="DQ9" s="1325"/>
      <c r="DR9" s="1325"/>
      <c r="DS9" s="1325"/>
      <c r="DT9" s="1325"/>
      <c r="DU9" s="1325"/>
      <c r="DV9" s="1325"/>
      <c r="DW9" s="1325"/>
      <c r="DX9" s="1325"/>
      <c r="DY9" s="1325"/>
      <c r="DZ9" s="1325"/>
      <c r="EA9" s="1325"/>
      <c r="EB9" s="1325"/>
      <c r="EC9" s="1325"/>
      <c r="ED9" s="1325"/>
      <c r="EE9" s="1325"/>
      <c r="EF9" s="1325"/>
      <c r="EG9" s="1325"/>
      <c r="EH9" s="1325"/>
      <c r="EI9" s="1325"/>
      <c r="EJ9" s="1325"/>
      <c r="EK9" s="1325"/>
      <c r="EL9" s="1325"/>
      <c r="EM9" s="1325"/>
      <c r="EN9" s="1325"/>
      <c r="EO9" s="1325"/>
      <c r="EP9" s="1325"/>
      <c r="EQ9" s="1325"/>
      <c r="ER9" s="1325"/>
      <c r="ES9" s="1325"/>
      <c r="ET9" s="1325"/>
      <c r="EU9" s="1325"/>
      <c r="EV9" s="1325"/>
      <c r="EW9" s="1325"/>
      <c r="EX9" s="1325"/>
      <c r="EY9" s="1325"/>
      <c r="EZ9" s="1325"/>
      <c r="FA9" s="1325"/>
      <c r="FB9" s="1325"/>
      <c r="FC9" s="1325"/>
      <c r="FD9" s="1325"/>
      <c r="FE9" s="1325"/>
      <c r="FF9" s="1325"/>
      <c r="FG9" s="1325"/>
      <c r="FH9" s="1325"/>
      <c r="FI9" s="1325"/>
      <c r="FJ9" s="1325"/>
      <c r="FK9" s="1325"/>
      <c r="FL9" s="1325"/>
      <c r="FM9" s="1325"/>
      <c r="FN9" s="1325"/>
      <c r="FO9" s="1325"/>
      <c r="FP9" s="1325"/>
      <c r="FQ9" s="1325"/>
      <c r="FR9" s="1325"/>
      <c r="FS9" s="1325"/>
      <c r="FT9" s="1325"/>
      <c r="FU9" s="1325"/>
      <c r="FV9" s="1325"/>
      <c r="FW9" s="1325"/>
      <c r="FX9" s="1325"/>
      <c r="FY9" s="1325"/>
      <c r="FZ9" s="1325"/>
      <c r="GA9" s="1325"/>
      <c r="GB9" s="1325"/>
      <c r="GC9" s="1325"/>
      <c r="GD9" s="1325"/>
      <c r="GE9" s="1325"/>
      <c r="GF9" s="1325"/>
      <c r="GG9" s="1325"/>
      <c r="GH9" s="1325"/>
      <c r="GI9" s="1325"/>
      <c r="GJ9" s="1325"/>
      <c r="GK9" s="1325"/>
      <c r="GL9" s="1325"/>
      <c r="GM9" s="1325"/>
      <c r="GN9" s="1325"/>
      <c r="GO9" s="1325"/>
      <c r="GP9" s="1325"/>
      <c r="GQ9" s="1325"/>
      <c r="GR9" s="1325"/>
      <c r="GS9" s="1325"/>
      <c r="GT9" s="1325"/>
      <c r="GU9" s="1325"/>
      <c r="GV9" s="1325"/>
      <c r="GW9" s="1325"/>
      <c r="GX9" s="1325"/>
      <c r="GY9" s="1325"/>
      <c r="GZ9" s="1325"/>
      <c r="HA9" s="1325"/>
      <c r="HB9" s="1325"/>
      <c r="HC9" s="1325"/>
      <c r="HD9" s="1325"/>
      <c r="HE9" s="1325"/>
      <c r="HF9" s="1325"/>
      <c r="HG9" s="1325"/>
      <c r="HH9" s="1325"/>
      <c r="HI9" s="1325"/>
      <c r="HJ9" s="1325"/>
      <c r="HK9" s="1325"/>
      <c r="HL9" s="1325"/>
      <c r="HM9" s="1325"/>
      <c r="HN9" s="1325"/>
      <c r="HO9" s="1325"/>
      <c r="HP9" s="1325"/>
      <c r="HQ9" s="1325"/>
      <c r="HR9" s="1325"/>
      <c r="HS9" s="1325"/>
      <c r="HT9" s="1325"/>
      <c r="HU9" s="1325"/>
      <c r="HV9" s="1325"/>
      <c r="HW9" s="1325"/>
      <c r="HX9" s="1325"/>
      <c r="HY9" s="1325"/>
      <c r="HZ9" s="1325"/>
      <c r="IA9" s="1325"/>
      <c r="IB9" s="1325"/>
      <c r="IC9" s="1325"/>
      <c r="ID9" s="1325"/>
      <c r="IE9" s="1325"/>
      <c r="IF9" s="1325"/>
      <c r="IG9" s="1325"/>
      <c r="IH9" s="1325"/>
      <c r="II9" s="1325"/>
      <c r="IJ9" s="1325"/>
      <c r="IK9" s="1325"/>
      <c r="IL9" s="1325"/>
      <c r="IM9" s="1325"/>
      <c r="IN9" s="1325"/>
      <c r="IO9" s="1325"/>
      <c r="IP9" s="1325"/>
      <c r="IQ9" s="1325"/>
      <c r="IR9" s="1325"/>
      <c r="IS9" s="1325"/>
      <c r="IT9" s="1325"/>
      <c r="IU9" s="1325"/>
      <c r="IV9" s="1325"/>
    </row>
    <row r="10" spans="1:256" ht="15.75">
      <c r="A10" s="1365" t="s">
        <v>776</v>
      </c>
      <c r="B10" s="1366" t="s">
        <v>777</v>
      </c>
      <c r="C10" s="1367">
        <f>1577581+1974312</f>
        <v>3551893</v>
      </c>
      <c r="D10" s="1367">
        <f>+C10-1577581-1974312</f>
        <v>0</v>
      </c>
      <c r="E10" s="1325"/>
      <c r="F10" s="1325"/>
      <c r="G10" s="1325"/>
      <c r="H10" s="1325"/>
      <c r="I10" s="1325"/>
      <c r="J10" s="1325"/>
      <c r="K10" s="1325"/>
      <c r="L10" s="1325"/>
      <c r="M10" s="1325"/>
      <c r="N10" s="1325"/>
      <c r="O10" s="1325"/>
      <c r="P10" s="1325"/>
      <c r="Q10" s="1325"/>
      <c r="R10" s="1325"/>
      <c r="S10" s="1325"/>
      <c r="T10" s="1325"/>
      <c r="U10" s="1325"/>
      <c r="V10" s="1325"/>
      <c r="W10" s="1325"/>
      <c r="X10" s="1325"/>
      <c r="Y10" s="1325"/>
      <c r="Z10" s="1325"/>
      <c r="AA10" s="1325"/>
      <c r="AB10" s="1325"/>
      <c r="AC10" s="1325"/>
      <c r="AD10" s="1325"/>
      <c r="AE10" s="1325"/>
      <c r="AF10" s="1325"/>
      <c r="AG10" s="1325"/>
      <c r="AH10" s="1325"/>
      <c r="AI10" s="1325"/>
      <c r="AJ10" s="1325"/>
      <c r="AK10" s="1325"/>
      <c r="AL10" s="1325"/>
      <c r="AM10" s="1325"/>
      <c r="AN10" s="1325"/>
      <c r="AO10" s="1325"/>
      <c r="AP10" s="1325"/>
      <c r="AQ10" s="1325"/>
      <c r="AR10" s="1325"/>
      <c r="AS10" s="1325"/>
      <c r="AT10" s="1325"/>
      <c r="AU10" s="1325"/>
      <c r="AV10" s="1325"/>
      <c r="AW10" s="1325"/>
      <c r="AX10" s="1325"/>
      <c r="AY10" s="1325"/>
      <c r="AZ10" s="1325"/>
      <c r="BA10" s="1325"/>
      <c r="BB10" s="1325"/>
      <c r="BC10" s="1325"/>
      <c r="BD10" s="1325"/>
      <c r="BE10" s="1325"/>
      <c r="BF10" s="1325"/>
      <c r="BG10" s="1325"/>
      <c r="BH10" s="1325"/>
      <c r="BI10" s="1325"/>
      <c r="BJ10" s="1325"/>
      <c r="BK10" s="1325"/>
      <c r="BL10" s="1325"/>
      <c r="BM10" s="1325"/>
      <c r="BN10" s="1325"/>
      <c r="BO10" s="1325"/>
      <c r="BP10" s="1325"/>
      <c r="BQ10" s="1325"/>
      <c r="BR10" s="1325"/>
      <c r="BS10" s="1325"/>
      <c r="BT10" s="1325"/>
      <c r="BU10" s="1325"/>
      <c r="BV10" s="1325"/>
      <c r="BW10" s="1325"/>
      <c r="BX10" s="1325"/>
      <c r="BY10" s="1325"/>
      <c r="BZ10" s="1325"/>
      <c r="CA10" s="1325"/>
      <c r="CB10" s="1325"/>
      <c r="CC10" s="1325"/>
      <c r="CD10" s="1325"/>
      <c r="CE10" s="1325"/>
      <c r="CF10" s="1325"/>
      <c r="CG10" s="1325"/>
      <c r="CH10" s="1325"/>
      <c r="CI10" s="1325"/>
      <c r="CJ10" s="1325"/>
      <c r="CK10" s="1325"/>
      <c r="CL10" s="1325"/>
      <c r="CM10" s="1325"/>
      <c r="CN10" s="1325"/>
      <c r="CO10" s="1325"/>
      <c r="CP10" s="1325"/>
      <c r="CQ10" s="1325"/>
      <c r="CR10" s="1325"/>
      <c r="CS10" s="1325"/>
      <c r="CT10" s="1325"/>
      <c r="CU10" s="1325"/>
      <c r="CV10" s="1325"/>
      <c r="CW10" s="1325"/>
      <c r="CX10" s="1325"/>
      <c r="CY10" s="1325"/>
      <c r="CZ10" s="1325"/>
      <c r="DA10" s="1325"/>
      <c r="DB10" s="1325"/>
      <c r="DC10" s="1325"/>
      <c r="DD10" s="1325"/>
      <c r="DE10" s="1325"/>
      <c r="DF10" s="1325"/>
      <c r="DG10" s="1325"/>
      <c r="DH10" s="1325"/>
      <c r="DI10" s="1325"/>
      <c r="DJ10" s="1325"/>
      <c r="DK10" s="1325"/>
      <c r="DL10" s="1325"/>
      <c r="DM10" s="1325"/>
      <c r="DN10" s="1325"/>
      <c r="DO10" s="1325"/>
      <c r="DP10" s="1325"/>
      <c r="DQ10" s="1325"/>
      <c r="DR10" s="1325"/>
      <c r="DS10" s="1325"/>
      <c r="DT10" s="1325"/>
      <c r="DU10" s="1325"/>
      <c r="DV10" s="1325"/>
      <c r="DW10" s="1325"/>
      <c r="DX10" s="1325"/>
      <c r="DY10" s="1325"/>
      <c r="DZ10" s="1325"/>
      <c r="EA10" s="1325"/>
      <c r="EB10" s="1325"/>
      <c r="EC10" s="1325"/>
      <c r="ED10" s="1325"/>
      <c r="EE10" s="1325"/>
      <c r="EF10" s="1325"/>
      <c r="EG10" s="1325"/>
      <c r="EH10" s="1325"/>
      <c r="EI10" s="1325"/>
      <c r="EJ10" s="1325"/>
      <c r="EK10" s="1325"/>
      <c r="EL10" s="1325"/>
      <c r="EM10" s="1325"/>
      <c r="EN10" s="1325"/>
      <c r="EO10" s="1325"/>
      <c r="EP10" s="1325"/>
      <c r="EQ10" s="1325"/>
      <c r="ER10" s="1325"/>
      <c r="ES10" s="1325"/>
      <c r="ET10" s="1325"/>
      <c r="EU10" s="1325"/>
      <c r="EV10" s="1325"/>
      <c r="EW10" s="1325"/>
      <c r="EX10" s="1325"/>
      <c r="EY10" s="1325"/>
      <c r="EZ10" s="1325"/>
      <c r="FA10" s="1325"/>
      <c r="FB10" s="1325"/>
      <c r="FC10" s="1325"/>
      <c r="FD10" s="1325"/>
      <c r="FE10" s="1325"/>
      <c r="FF10" s="1325"/>
      <c r="FG10" s="1325"/>
      <c r="FH10" s="1325"/>
      <c r="FI10" s="1325"/>
      <c r="FJ10" s="1325"/>
      <c r="FK10" s="1325"/>
      <c r="FL10" s="1325"/>
      <c r="FM10" s="1325"/>
      <c r="FN10" s="1325"/>
      <c r="FO10" s="1325"/>
      <c r="FP10" s="1325"/>
      <c r="FQ10" s="1325"/>
      <c r="FR10" s="1325"/>
      <c r="FS10" s="1325"/>
      <c r="FT10" s="1325"/>
      <c r="FU10" s="1325"/>
      <c r="FV10" s="1325"/>
      <c r="FW10" s="1325"/>
      <c r="FX10" s="1325"/>
      <c r="FY10" s="1325"/>
      <c r="FZ10" s="1325"/>
      <c r="GA10" s="1325"/>
      <c r="GB10" s="1325"/>
      <c r="GC10" s="1325"/>
      <c r="GD10" s="1325"/>
      <c r="GE10" s="1325"/>
      <c r="GF10" s="1325"/>
      <c r="GG10" s="1325"/>
      <c r="GH10" s="1325"/>
      <c r="GI10" s="1325"/>
      <c r="GJ10" s="1325"/>
      <c r="GK10" s="1325"/>
      <c r="GL10" s="1325"/>
      <c r="GM10" s="1325"/>
      <c r="GN10" s="1325"/>
      <c r="GO10" s="1325"/>
      <c r="GP10" s="1325"/>
      <c r="GQ10" s="1325"/>
      <c r="GR10" s="1325"/>
      <c r="GS10" s="1325"/>
      <c r="GT10" s="1325"/>
      <c r="GU10" s="1325"/>
      <c r="GV10" s="1325"/>
      <c r="GW10" s="1325"/>
      <c r="GX10" s="1325"/>
      <c r="GY10" s="1325"/>
      <c r="GZ10" s="1325"/>
      <c r="HA10" s="1325"/>
      <c r="HB10" s="1325"/>
      <c r="HC10" s="1325"/>
      <c r="HD10" s="1325"/>
      <c r="HE10" s="1325"/>
      <c r="HF10" s="1325"/>
      <c r="HG10" s="1325"/>
      <c r="HH10" s="1325"/>
      <c r="HI10" s="1325"/>
      <c r="HJ10" s="1325"/>
      <c r="HK10" s="1325"/>
      <c r="HL10" s="1325"/>
      <c r="HM10" s="1325"/>
      <c r="HN10" s="1325"/>
      <c r="HO10" s="1325"/>
      <c r="HP10" s="1325"/>
      <c r="HQ10" s="1325"/>
      <c r="HR10" s="1325"/>
      <c r="HS10" s="1325"/>
      <c r="HT10" s="1325"/>
      <c r="HU10" s="1325"/>
      <c r="HV10" s="1325"/>
      <c r="HW10" s="1325"/>
      <c r="HX10" s="1325"/>
      <c r="HY10" s="1325"/>
      <c r="HZ10" s="1325"/>
      <c r="IA10" s="1325"/>
      <c r="IB10" s="1325"/>
      <c r="IC10" s="1325"/>
      <c r="ID10" s="1325"/>
      <c r="IE10" s="1325"/>
      <c r="IF10" s="1325"/>
      <c r="IG10" s="1325"/>
      <c r="IH10" s="1325"/>
      <c r="II10" s="1325"/>
      <c r="IJ10" s="1325"/>
      <c r="IK10" s="1325"/>
      <c r="IL10" s="1325"/>
      <c r="IM10" s="1325"/>
      <c r="IN10" s="1325"/>
      <c r="IO10" s="1325"/>
      <c r="IP10" s="1325"/>
      <c r="IQ10" s="1325"/>
      <c r="IR10" s="1325"/>
      <c r="IS10" s="1325"/>
      <c r="IT10" s="1325"/>
      <c r="IU10" s="1325"/>
      <c r="IV10" s="1325"/>
    </row>
    <row r="11" spans="1:256" ht="15.75">
      <c r="A11" s="1365" t="s">
        <v>778</v>
      </c>
      <c r="B11" s="1366" t="s">
        <v>779</v>
      </c>
      <c r="C11" s="1367">
        <f>1616564+344360</f>
        <v>1960924</v>
      </c>
      <c r="D11" s="1367">
        <f>+C11-344360-1616564</f>
        <v>0</v>
      </c>
      <c r="E11" s="1325"/>
      <c r="F11" s="1325"/>
      <c r="G11" s="1325"/>
      <c r="H11" s="1325"/>
      <c r="I11" s="1325"/>
      <c r="J11" s="1325"/>
      <c r="K11" s="1325"/>
      <c r="L11" s="1325"/>
      <c r="M11" s="1325"/>
      <c r="N11" s="1325"/>
      <c r="O11" s="1325"/>
      <c r="P11" s="1325"/>
      <c r="Q11" s="1325"/>
      <c r="R11" s="1325"/>
      <c r="S11" s="1325"/>
      <c r="T11" s="1325"/>
      <c r="U11" s="1325"/>
      <c r="V11" s="1325"/>
      <c r="W11" s="1325"/>
      <c r="X11" s="1325"/>
      <c r="Y11" s="1325"/>
      <c r="Z11" s="1325"/>
      <c r="AA11" s="1325"/>
      <c r="AB11" s="1325"/>
      <c r="AC11" s="1325"/>
      <c r="AD11" s="1325"/>
      <c r="AE11" s="1325"/>
      <c r="AF11" s="1325"/>
      <c r="AG11" s="1325"/>
      <c r="AH11" s="1325"/>
      <c r="AI11" s="1325"/>
      <c r="AJ11" s="1325"/>
      <c r="AK11" s="1325"/>
      <c r="AL11" s="1325"/>
      <c r="AM11" s="1325"/>
      <c r="AN11" s="1325"/>
      <c r="AO11" s="1325"/>
      <c r="AP11" s="1325"/>
      <c r="AQ11" s="1325"/>
      <c r="AR11" s="1325"/>
      <c r="AS11" s="1325"/>
      <c r="AT11" s="1325"/>
      <c r="AU11" s="1325"/>
      <c r="AV11" s="1325"/>
      <c r="AW11" s="1325"/>
      <c r="AX11" s="1325"/>
      <c r="AY11" s="1325"/>
      <c r="AZ11" s="1325"/>
      <c r="BA11" s="1325"/>
      <c r="BB11" s="1325"/>
      <c r="BC11" s="1325"/>
      <c r="BD11" s="1325"/>
      <c r="BE11" s="1325"/>
      <c r="BF11" s="1325"/>
      <c r="BG11" s="1325"/>
      <c r="BH11" s="1325"/>
      <c r="BI11" s="1325"/>
      <c r="BJ11" s="1325"/>
      <c r="BK11" s="1325"/>
      <c r="BL11" s="1325"/>
      <c r="BM11" s="1325"/>
      <c r="BN11" s="1325"/>
      <c r="BO11" s="1325"/>
      <c r="BP11" s="1325"/>
      <c r="BQ11" s="1325"/>
      <c r="BR11" s="1325"/>
      <c r="BS11" s="1325"/>
      <c r="BT11" s="1325"/>
      <c r="BU11" s="1325"/>
      <c r="BV11" s="1325"/>
      <c r="BW11" s="1325"/>
      <c r="BX11" s="1325"/>
      <c r="BY11" s="1325"/>
      <c r="BZ11" s="1325"/>
      <c r="CA11" s="1325"/>
      <c r="CB11" s="1325"/>
      <c r="CC11" s="1325"/>
      <c r="CD11" s="1325"/>
      <c r="CE11" s="1325"/>
      <c r="CF11" s="1325"/>
      <c r="CG11" s="1325"/>
      <c r="CH11" s="1325"/>
      <c r="CI11" s="1325"/>
      <c r="CJ11" s="1325"/>
      <c r="CK11" s="1325"/>
      <c r="CL11" s="1325"/>
      <c r="CM11" s="1325"/>
      <c r="CN11" s="1325"/>
      <c r="CO11" s="1325"/>
      <c r="CP11" s="1325"/>
      <c r="CQ11" s="1325"/>
      <c r="CR11" s="1325"/>
      <c r="CS11" s="1325"/>
      <c r="CT11" s="1325"/>
      <c r="CU11" s="1325"/>
      <c r="CV11" s="1325"/>
      <c r="CW11" s="1325"/>
      <c r="CX11" s="1325"/>
      <c r="CY11" s="1325"/>
      <c r="CZ11" s="1325"/>
      <c r="DA11" s="1325"/>
      <c r="DB11" s="1325"/>
      <c r="DC11" s="1325"/>
      <c r="DD11" s="1325"/>
      <c r="DE11" s="1325"/>
      <c r="DF11" s="1325"/>
      <c r="DG11" s="1325"/>
      <c r="DH11" s="1325"/>
      <c r="DI11" s="1325"/>
      <c r="DJ11" s="1325"/>
      <c r="DK11" s="1325"/>
      <c r="DL11" s="1325"/>
      <c r="DM11" s="1325"/>
      <c r="DN11" s="1325"/>
      <c r="DO11" s="1325"/>
      <c r="DP11" s="1325"/>
      <c r="DQ11" s="1325"/>
      <c r="DR11" s="1325"/>
      <c r="DS11" s="1325"/>
      <c r="DT11" s="1325"/>
      <c r="DU11" s="1325"/>
      <c r="DV11" s="1325"/>
      <c r="DW11" s="1325"/>
      <c r="DX11" s="1325"/>
      <c r="DY11" s="1325"/>
      <c r="DZ11" s="1325"/>
      <c r="EA11" s="1325"/>
      <c r="EB11" s="1325"/>
      <c r="EC11" s="1325"/>
      <c r="ED11" s="1325"/>
      <c r="EE11" s="1325"/>
      <c r="EF11" s="1325"/>
      <c r="EG11" s="1325"/>
      <c r="EH11" s="1325"/>
      <c r="EI11" s="1325"/>
      <c r="EJ11" s="1325"/>
      <c r="EK11" s="1325"/>
      <c r="EL11" s="1325"/>
      <c r="EM11" s="1325"/>
      <c r="EN11" s="1325"/>
      <c r="EO11" s="1325"/>
      <c r="EP11" s="1325"/>
      <c r="EQ11" s="1325"/>
      <c r="ER11" s="1325"/>
      <c r="ES11" s="1325"/>
      <c r="ET11" s="1325"/>
      <c r="EU11" s="1325"/>
      <c r="EV11" s="1325"/>
      <c r="EW11" s="1325"/>
      <c r="EX11" s="1325"/>
      <c r="EY11" s="1325"/>
      <c r="EZ11" s="1325"/>
      <c r="FA11" s="1325"/>
      <c r="FB11" s="1325"/>
      <c r="FC11" s="1325"/>
      <c r="FD11" s="1325"/>
      <c r="FE11" s="1325"/>
      <c r="FF11" s="1325"/>
      <c r="FG11" s="1325"/>
      <c r="FH11" s="1325"/>
      <c r="FI11" s="1325"/>
      <c r="FJ11" s="1325"/>
      <c r="FK11" s="1325"/>
      <c r="FL11" s="1325"/>
      <c r="FM11" s="1325"/>
      <c r="FN11" s="1325"/>
      <c r="FO11" s="1325"/>
      <c r="FP11" s="1325"/>
      <c r="FQ11" s="1325"/>
      <c r="FR11" s="1325"/>
      <c r="FS11" s="1325"/>
      <c r="FT11" s="1325"/>
      <c r="FU11" s="1325"/>
      <c r="FV11" s="1325"/>
      <c r="FW11" s="1325"/>
      <c r="FX11" s="1325"/>
      <c r="FY11" s="1325"/>
      <c r="FZ11" s="1325"/>
      <c r="GA11" s="1325"/>
      <c r="GB11" s="1325"/>
      <c r="GC11" s="1325"/>
      <c r="GD11" s="1325"/>
      <c r="GE11" s="1325"/>
      <c r="GF11" s="1325"/>
      <c r="GG11" s="1325"/>
      <c r="GH11" s="1325"/>
      <c r="GI11" s="1325"/>
      <c r="GJ11" s="1325"/>
      <c r="GK11" s="1325"/>
      <c r="GL11" s="1325"/>
      <c r="GM11" s="1325"/>
      <c r="GN11" s="1325"/>
      <c r="GO11" s="1325"/>
      <c r="GP11" s="1325"/>
      <c r="GQ11" s="1325"/>
      <c r="GR11" s="1325"/>
      <c r="GS11" s="1325"/>
      <c r="GT11" s="1325"/>
      <c r="GU11" s="1325"/>
      <c r="GV11" s="1325"/>
      <c r="GW11" s="1325"/>
      <c r="GX11" s="1325"/>
      <c r="GY11" s="1325"/>
      <c r="GZ11" s="1325"/>
      <c r="HA11" s="1325"/>
      <c r="HB11" s="1325"/>
      <c r="HC11" s="1325"/>
      <c r="HD11" s="1325"/>
      <c r="HE11" s="1325"/>
      <c r="HF11" s="1325"/>
      <c r="HG11" s="1325"/>
      <c r="HH11" s="1325"/>
      <c r="HI11" s="1325"/>
      <c r="HJ11" s="1325"/>
      <c r="HK11" s="1325"/>
      <c r="HL11" s="1325"/>
      <c r="HM11" s="1325"/>
      <c r="HN11" s="1325"/>
      <c r="HO11" s="1325"/>
      <c r="HP11" s="1325"/>
      <c r="HQ11" s="1325"/>
      <c r="HR11" s="1325"/>
      <c r="HS11" s="1325"/>
      <c r="HT11" s="1325"/>
      <c r="HU11" s="1325"/>
      <c r="HV11" s="1325"/>
      <c r="HW11" s="1325"/>
      <c r="HX11" s="1325"/>
      <c r="HY11" s="1325"/>
      <c r="HZ11" s="1325"/>
      <c r="IA11" s="1325"/>
      <c r="IB11" s="1325"/>
      <c r="IC11" s="1325"/>
      <c r="ID11" s="1325"/>
      <c r="IE11" s="1325"/>
      <c r="IF11" s="1325"/>
      <c r="IG11" s="1325"/>
      <c r="IH11" s="1325"/>
      <c r="II11" s="1325"/>
      <c r="IJ11" s="1325"/>
      <c r="IK11" s="1325"/>
      <c r="IL11" s="1325"/>
      <c r="IM11" s="1325"/>
      <c r="IN11" s="1325"/>
      <c r="IO11" s="1325"/>
      <c r="IP11" s="1325"/>
      <c r="IQ11" s="1325"/>
      <c r="IR11" s="1325"/>
      <c r="IS11" s="1325"/>
      <c r="IT11" s="1325"/>
      <c r="IU11" s="1325"/>
      <c r="IV11" s="1325"/>
    </row>
    <row r="12" spans="1:256" ht="15.75">
      <c r="A12" s="1368" t="s">
        <v>780</v>
      </c>
      <c r="B12" s="1369" t="s">
        <v>781</v>
      </c>
      <c r="C12" s="1370">
        <f>SUM(C13+C18+C23+C28+C33)</f>
        <v>11292942</v>
      </c>
      <c r="D12" s="1370">
        <f>SUM(D13+D18+D23+D28+D33)</f>
        <v>482977</v>
      </c>
      <c r="E12" s="1325"/>
      <c r="F12" s="1325"/>
      <c r="G12" s="1325"/>
      <c r="H12" s="1325"/>
      <c r="I12" s="1325"/>
      <c r="J12" s="1325"/>
      <c r="K12" s="1325"/>
      <c r="L12" s="1325"/>
      <c r="M12" s="1325"/>
      <c r="N12" s="1325"/>
      <c r="O12" s="1325"/>
      <c r="P12" s="1325"/>
      <c r="Q12" s="1325"/>
      <c r="R12" s="1325"/>
      <c r="S12" s="1325"/>
      <c r="T12" s="1325"/>
      <c r="U12" s="1325"/>
      <c r="V12" s="1325"/>
      <c r="W12" s="1325"/>
      <c r="X12" s="1325"/>
      <c r="Y12" s="1325"/>
      <c r="Z12" s="1325"/>
      <c r="AA12" s="1325"/>
      <c r="AB12" s="1325"/>
      <c r="AC12" s="1325"/>
      <c r="AD12" s="1325"/>
      <c r="AE12" s="1325"/>
      <c r="AF12" s="1325"/>
      <c r="AG12" s="1325"/>
      <c r="AH12" s="1325"/>
      <c r="AI12" s="1325"/>
      <c r="AJ12" s="1325"/>
      <c r="AK12" s="1325"/>
      <c r="AL12" s="1325"/>
      <c r="AM12" s="1325"/>
      <c r="AN12" s="1325"/>
      <c r="AO12" s="1325"/>
      <c r="AP12" s="1325"/>
      <c r="AQ12" s="1325"/>
      <c r="AR12" s="1325"/>
      <c r="AS12" s="1325"/>
      <c r="AT12" s="1325"/>
      <c r="AU12" s="1325"/>
      <c r="AV12" s="1325"/>
      <c r="AW12" s="1325"/>
      <c r="AX12" s="1325"/>
      <c r="AY12" s="1325"/>
      <c r="AZ12" s="1325"/>
      <c r="BA12" s="1325"/>
      <c r="BB12" s="1325"/>
      <c r="BC12" s="1325"/>
      <c r="BD12" s="1325"/>
      <c r="BE12" s="1325"/>
      <c r="BF12" s="1325"/>
      <c r="BG12" s="1325"/>
      <c r="BH12" s="1325"/>
      <c r="BI12" s="1325"/>
      <c r="BJ12" s="1325"/>
      <c r="BK12" s="1325"/>
      <c r="BL12" s="1325"/>
      <c r="BM12" s="1325"/>
      <c r="BN12" s="1325"/>
      <c r="BO12" s="1325"/>
      <c r="BP12" s="1325"/>
      <c r="BQ12" s="1325"/>
      <c r="BR12" s="1325"/>
      <c r="BS12" s="1325"/>
      <c r="BT12" s="1325"/>
      <c r="BU12" s="1325"/>
      <c r="BV12" s="1325"/>
      <c r="BW12" s="1325"/>
      <c r="BX12" s="1325"/>
      <c r="BY12" s="1325"/>
      <c r="BZ12" s="1325"/>
      <c r="CA12" s="1325"/>
      <c r="CB12" s="1325"/>
      <c r="CC12" s="1325"/>
      <c r="CD12" s="1325"/>
      <c r="CE12" s="1325"/>
      <c r="CF12" s="1325"/>
      <c r="CG12" s="1325"/>
      <c r="CH12" s="1325"/>
      <c r="CI12" s="1325"/>
      <c r="CJ12" s="1325"/>
      <c r="CK12" s="1325"/>
      <c r="CL12" s="1325"/>
      <c r="CM12" s="1325"/>
      <c r="CN12" s="1325"/>
      <c r="CO12" s="1325"/>
      <c r="CP12" s="1325"/>
      <c r="CQ12" s="1325"/>
      <c r="CR12" s="1325"/>
      <c r="CS12" s="1325"/>
      <c r="CT12" s="1325"/>
      <c r="CU12" s="1325"/>
      <c r="CV12" s="1325"/>
      <c r="CW12" s="1325"/>
      <c r="CX12" s="1325"/>
      <c r="CY12" s="1325"/>
      <c r="CZ12" s="1325"/>
      <c r="DA12" s="1325"/>
      <c r="DB12" s="1325"/>
      <c r="DC12" s="1325"/>
      <c r="DD12" s="1325"/>
      <c r="DE12" s="1325"/>
      <c r="DF12" s="1325"/>
      <c r="DG12" s="1325"/>
      <c r="DH12" s="1325"/>
      <c r="DI12" s="1325"/>
      <c r="DJ12" s="1325"/>
      <c r="DK12" s="1325"/>
      <c r="DL12" s="1325"/>
      <c r="DM12" s="1325"/>
      <c r="DN12" s="1325"/>
      <c r="DO12" s="1325"/>
      <c r="DP12" s="1325"/>
      <c r="DQ12" s="1325"/>
      <c r="DR12" s="1325"/>
      <c r="DS12" s="1325"/>
      <c r="DT12" s="1325"/>
      <c r="DU12" s="1325"/>
      <c r="DV12" s="1325"/>
      <c r="DW12" s="1325"/>
      <c r="DX12" s="1325"/>
      <c r="DY12" s="1325"/>
      <c r="DZ12" s="1325"/>
      <c r="EA12" s="1325"/>
      <c r="EB12" s="1325"/>
      <c r="EC12" s="1325"/>
      <c r="ED12" s="1325"/>
      <c r="EE12" s="1325"/>
      <c r="EF12" s="1325"/>
      <c r="EG12" s="1325"/>
      <c r="EH12" s="1325"/>
      <c r="EI12" s="1325"/>
      <c r="EJ12" s="1325"/>
      <c r="EK12" s="1325"/>
      <c r="EL12" s="1325"/>
      <c r="EM12" s="1325"/>
      <c r="EN12" s="1325"/>
      <c r="EO12" s="1325"/>
      <c r="EP12" s="1325"/>
      <c r="EQ12" s="1325"/>
      <c r="ER12" s="1325"/>
      <c r="ES12" s="1325"/>
      <c r="ET12" s="1325"/>
      <c r="EU12" s="1325"/>
      <c r="EV12" s="1325"/>
      <c r="EW12" s="1325"/>
      <c r="EX12" s="1325"/>
      <c r="EY12" s="1325"/>
      <c r="EZ12" s="1325"/>
      <c r="FA12" s="1325"/>
      <c r="FB12" s="1325"/>
      <c r="FC12" s="1325"/>
      <c r="FD12" s="1325"/>
      <c r="FE12" s="1325"/>
      <c r="FF12" s="1325"/>
      <c r="FG12" s="1325"/>
      <c r="FH12" s="1325"/>
      <c r="FI12" s="1325"/>
      <c r="FJ12" s="1325"/>
      <c r="FK12" s="1325"/>
      <c r="FL12" s="1325"/>
      <c r="FM12" s="1325"/>
      <c r="FN12" s="1325"/>
      <c r="FO12" s="1325"/>
      <c r="FP12" s="1325"/>
      <c r="FQ12" s="1325"/>
      <c r="FR12" s="1325"/>
      <c r="FS12" s="1325"/>
      <c r="FT12" s="1325"/>
      <c r="FU12" s="1325"/>
      <c r="FV12" s="1325"/>
      <c r="FW12" s="1325"/>
      <c r="FX12" s="1325"/>
      <c r="FY12" s="1325"/>
      <c r="FZ12" s="1325"/>
      <c r="GA12" s="1325"/>
      <c r="GB12" s="1325"/>
      <c r="GC12" s="1325"/>
      <c r="GD12" s="1325"/>
      <c r="GE12" s="1325"/>
      <c r="GF12" s="1325"/>
      <c r="GG12" s="1325"/>
      <c r="GH12" s="1325"/>
      <c r="GI12" s="1325"/>
      <c r="GJ12" s="1325"/>
      <c r="GK12" s="1325"/>
      <c r="GL12" s="1325"/>
      <c r="GM12" s="1325"/>
      <c r="GN12" s="1325"/>
      <c r="GO12" s="1325"/>
      <c r="GP12" s="1325"/>
      <c r="GQ12" s="1325"/>
      <c r="GR12" s="1325"/>
      <c r="GS12" s="1325"/>
      <c r="GT12" s="1325"/>
      <c r="GU12" s="1325"/>
      <c r="GV12" s="1325"/>
      <c r="GW12" s="1325"/>
      <c r="GX12" s="1325"/>
      <c r="GY12" s="1325"/>
      <c r="GZ12" s="1325"/>
      <c r="HA12" s="1325"/>
      <c r="HB12" s="1325"/>
      <c r="HC12" s="1325"/>
      <c r="HD12" s="1325"/>
      <c r="HE12" s="1325"/>
      <c r="HF12" s="1325"/>
      <c r="HG12" s="1325"/>
      <c r="HH12" s="1325"/>
      <c r="HI12" s="1325"/>
      <c r="HJ12" s="1325"/>
      <c r="HK12" s="1325"/>
      <c r="HL12" s="1325"/>
      <c r="HM12" s="1325"/>
      <c r="HN12" s="1325"/>
      <c r="HO12" s="1325"/>
      <c r="HP12" s="1325"/>
      <c r="HQ12" s="1325"/>
      <c r="HR12" s="1325"/>
      <c r="HS12" s="1325"/>
      <c r="HT12" s="1325"/>
      <c r="HU12" s="1325"/>
      <c r="HV12" s="1325"/>
      <c r="HW12" s="1325"/>
      <c r="HX12" s="1325"/>
      <c r="HY12" s="1325"/>
      <c r="HZ12" s="1325"/>
      <c r="IA12" s="1325"/>
      <c r="IB12" s="1325"/>
      <c r="IC12" s="1325"/>
      <c r="ID12" s="1325"/>
      <c r="IE12" s="1325"/>
      <c r="IF12" s="1325"/>
      <c r="IG12" s="1325"/>
      <c r="IH12" s="1325"/>
      <c r="II12" s="1325"/>
      <c r="IJ12" s="1325"/>
      <c r="IK12" s="1325"/>
      <c r="IL12" s="1325"/>
      <c r="IM12" s="1325"/>
      <c r="IN12" s="1325"/>
      <c r="IO12" s="1325"/>
      <c r="IP12" s="1325"/>
      <c r="IQ12" s="1325"/>
      <c r="IR12" s="1325"/>
      <c r="IS12" s="1325"/>
      <c r="IT12" s="1325"/>
      <c r="IU12" s="1325"/>
      <c r="IV12" s="1325"/>
    </row>
    <row r="13" spans="1:256" ht="31.5">
      <c r="A13" s="1368" t="s">
        <v>782</v>
      </c>
      <c r="B13" s="1369" t="s">
        <v>783</v>
      </c>
      <c r="C13" s="1370">
        <f>SUM(C14:C17)</f>
        <v>0</v>
      </c>
      <c r="D13" s="1370">
        <f>SUM(D14:D17)</f>
        <v>0</v>
      </c>
      <c r="E13" s="1325"/>
      <c r="F13" s="1325"/>
      <c r="G13" s="1325"/>
      <c r="H13" s="1325"/>
      <c r="I13" s="1325"/>
      <c r="J13" s="1325"/>
      <c r="K13" s="1325"/>
      <c r="L13" s="1325"/>
      <c r="M13" s="1325"/>
      <c r="N13" s="1325"/>
      <c r="O13" s="1325"/>
      <c r="P13" s="1325"/>
      <c r="Q13" s="1325"/>
      <c r="R13" s="1325"/>
      <c r="S13" s="1325"/>
      <c r="T13" s="1325"/>
      <c r="U13" s="1325"/>
      <c r="V13" s="1325"/>
      <c r="W13" s="1325"/>
      <c r="X13" s="1325"/>
      <c r="Y13" s="1325"/>
      <c r="Z13" s="1325"/>
      <c r="AA13" s="1325"/>
      <c r="AB13" s="1325"/>
      <c r="AC13" s="1325"/>
      <c r="AD13" s="1325"/>
      <c r="AE13" s="1325"/>
      <c r="AF13" s="1325"/>
      <c r="AG13" s="1325"/>
      <c r="AH13" s="1325"/>
      <c r="AI13" s="1325"/>
      <c r="AJ13" s="1325"/>
      <c r="AK13" s="1325"/>
      <c r="AL13" s="1325"/>
      <c r="AM13" s="1325"/>
      <c r="AN13" s="1325"/>
      <c r="AO13" s="1325"/>
      <c r="AP13" s="1325"/>
      <c r="AQ13" s="1325"/>
      <c r="AR13" s="1325"/>
      <c r="AS13" s="1325"/>
      <c r="AT13" s="1325"/>
      <c r="AU13" s="1325"/>
      <c r="AV13" s="1325"/>
      <c r="AW13" s="1325"/>
      <c r="AX13" s="1325"/>
      <c r="AY13" s="1325"/>
      <c r="AZ13" s="1325"/>
      <c r="BA13" s="1325"/>
      <c r="BB13" s="1325"/>
      <c r="BC13" s="1325"/>
      <c r="BD13" s="1325"/>
      <c r="BE13" s="1325"/>
      <c r="BF13" s="1325"/>
      <c r="BG13" s="1325"/>
      <c r="BH13" s="1325"/>
      <c r="BI13" s="1325"/>
      <c r="BJ13" s="1325"/>
      <c r="BK13" s="1325"/>
      <c r="BL13" s="1325"/>
      <c r="BM13" s="1325"/>
      <c r="BN13" s="1325"/>
      <c r="BO13" s="1325"/>
      <c r="BP13" s="1325"/>
      <c r="BQ13" s="1325"/>
      <c r="BR13" s="1325"/>
      <c r="BS13" s="1325"/>
      <c r="BT13" s="1325"/>
      <c r="BU13" s="1325"/>
      <c r="BV13" s="1325"/>
      <c r="BW13" s="1325"/>
      <c r="BX13" s="1325"/>
      <c r="BY13" s="1325"/>
      <c r="BZ13" s="1325"/>
      <c r="CA13" s="1325"/>
      <c r="CB13" s="1325"/>
      <c r="CC13" s="1325"/>
      <c r="CD13" s="1325"/>
      <c r="CE13" s="1325"/>
      <c r="CF13" s="1325"/>
      <c r="CG13" s="1325"/>
      <c r="CH13" s="1325"/>
      <c r="CI13" s="1325"/>
      <c r="CJ13" s="1325"/>
      <c r="CK13" s="1325"/>
      <c r="CL13" s="1325"/>
      <c r="CM13" s="1325"/>
      <c r="CN13" s="1325"/>
      <c r="CO13" s="1325"/>
      <c r="CP13" s="1325"/>
      <c r="CQ13" s="1325"/>
      <c r="CR13" s="1325"/>
      <c r="CS13" s="1325"/>
      <c r="CT13" s="1325"/>
      <c r="CU13" s="1325"/>
      <c r="CV13" s="1325"/>
      <c r="CW13" s="1325"/>
      <c r="CX13" s="1325"/>
      <c r="CY13" s="1325"/>
      <c r="CZ13" s="1325"/>
      <c r="DA13" s="1325"/>
      <c r="DB13" s="1325"/>
      <c r="DC13" s="1325"/>
      <c r="DD13" s="1325"/>
      <c r="DE13" s="1325"/>
      <c r="DF13" s="1325"/>
      <c r="DG13" s="1325"/>
      <c r="DH13" s="1325"/>
      <c r="DI13" s="1325"/>
      <c r="DJ13" s="1325"/>
      <c r="DK13" s="1325"/>
      <c r="DL13" s="1325"/>
      <c r="DM13" s="1325"/>
      <c r="DN13" s="1325"/>
      <c r="DO13" s="1325"/>
      <c r="DP13" s="1325"/>
      <c r="DQ13" s="1325"/>
      <c r="DR13" s="1325"/>
      <c r="DS13" s="1325"/>
      <c r="DT13" s="1325"/>
      <c r="DU13" s="1325"/>
      <c r="DV13" s="1325"/>
      <c r="DW13" s="1325"/>
      <c r="DX13" s="1325"/>
      <c r="DY13" s="1325"/>
      <c r="DZ13" s="1325"/>
      <c r="EA13" s="1325"/>
      <c r="EB13" s="1325"/>
      <c r="EC13" s="1325"/>
      <c r="ED13" s="1325"/>
      <c r="EE13" s="1325"/>
      <c r="EF13" s="1325"/>
      <c r="EG13" s="1325"/>
      <c r="EH13" s="1325"/>
      <c r="EI13" s="1325"/>
      <c r="EJ13" s="1325"/>
      <c r="EK13" s="1325"/>
      <c r="EL13" s="1325"/>
      <c r="EM13" s="1325"/>
      <c r="EN13" s="1325"/>
      <c r="EO13" s="1325"/>
      <c r="EP13" s="1325"/>
      <c r="EQ13" s="1325"/>
      <c r="ER13" s="1325"/>
      <c r="ES13" s="1325"/>
      <c r="ET13" s="1325"/>
      <c r="EU13" s="1325"/>
      <c r="EV13" s="1325"/>
      <c r="EW13" s="1325"/>
      <c r="EX13" s="1325"/>
      <c r="EY13" s="1325"/>
      <c r="EZ13" s="1325"/>
      <c r="FA13" s="1325"/>
      <c r="FB13" s="1325"/>
      <c r="FC13" s="1325"/>
      <c r="FD13" s="1325"/>
      <c r="FE13" s="1325"/>
      <c r="FF13" s="1325"/>
      <c r="FG13" s="1325"/>
      <c r="FH13" s="1325"/>
      <c r="FI13" s="1325"/>
      <c r="FJ13" s="1325"/>
      <c r="FK13" s="1325"/>
      <c r="FL13" s="1325"/>
      <c r="FM13" s="1325"/>
      <c r="FN13" s="1325"/>
      <c r="FO13" s="1325"/>
      <c r="FP13" s="1325"/>
      <c r="FQ13" s="1325"/>
      <c r="FR13" s="1325"/>
      <c r="FS13" s="1325"/>
      <c r="FT13" s="1325"/>
      <c r="FU13" s="1325"/>
      <c r="FV13" s="1325"/>
      <c r="FW13" s="1325"/>
      <c r="FX13" s="1325"/>
      <c r="FY13" s="1325"/>
      <c r="FZ13" s="1325"/>
      <c r="GA13" s="1325"/>
      <c r="GB13" s="1325"/>
      <c r="GC13" s="1325"/>
      <c r="GD13" s="1325"/>
      <c r="GE13" s="1325"/>
      <c r="GF13" s="1325"/>
      <c r="GG13" s="1325"/>
      <c r="GH13" s="1325"/>
      <c r="GI13" s="1325"/>
      <c r="GJ13" s="1325"/>
      <c r="GK13" s="1325"/>
      <c r="GL13" s="1325"/>
      <c r="GM13" s="1325"/>
      <c r="GN13" s="1325"/>
      <c r="GO13" s="1325"/>
      <c r="GP13" s="1325"/>
      <c r="GQ13" s="1325"/>
      <c r="GR13" s="1325"/>
      <c r="GS13" s="1325"/>
      <c r="GT13" s="1325"/>
      <c r="GU13" s="1325"/>
      <c r="GV13" s="1325"/>
      <c r="GW13" s="1325"/>
      <c r="GX13" s="1325"/>
      <c r="GY13" s="1325"/>
      <c r="GZ13" s="1325"/>
      <c r="HA13" s="1325"/>
      <c r="HB13" s="1325"/>
      <c r="HC13" s="1325"/>
      <c r="HD13" s="1325"/>
      <c r="HE13" s="1325"/>
      <c r="HF13" s="1325"/>
      <c r="HG13" s="1325"/>
      <c r="HH13" s="1325"/>
      <c r="HI13" s="1325"/>
      <c r="HJ13" s="1325"/>
      <c r="HK13" s="1325"/>
      <c r="HL13" s="1325"/>
      <c r="HM13" s="1325"/>
      <c r="HN13" s="1325"/>
      <c r="HO13" s="1325"/>
      <c r="HP13" s="1325"/>
      <c r="HQ13" s="1325"/>
      <c r="HR13" s="1325"/>
      <c r="HS13" s="1325"/>
      <c r="HT13" s="1325"/>
      <c r="HU13" s="1325"/>
      <c r="HV13" s="1325"/>
      <c r="HW13" s="1325"/>
      <c r="HX13" s="1325"/>
      <c r="HY13" s="1325"/>
      <c r="HZ13" s="1325"/>
      <c r="IA13" s="1325"/>
      <c r="IB13" s="1325"/>
      <c r="IC13" s="1325"/>
      <c r="ID13" s="1325"/>
      <c r="IE13" s="1325"/>
      <c r="IF13" s="1325"/>
      <c r="IG13" s="1325"/>
      <c r="IH13" s="1325"/>
      <c r="II13" s="1325"/>
      <c r="IJ13" s="1325"/>
      <c r="IK13" s="1325"/>
      <c r="IL13" s="1325"/>
      <c r="IM13" s="1325"/>
      <c r="IN13" s="1325"/>
      <c r="IO13" s="1325"/>
      <c r="IP13" s="1325"/>
      <c r="IQ13" s="1325"/>
      <c r="IR13" s="1325"/>
      <c r="IS13" s="1325"/>
      <c r="IT13" s="1325"/>
      <c r="IU13" s="1325"/>
      <c r="IV13" s="1325"/>
    </row>
    <row r="14" spans="1:256" ht="31.5">
      <c r="A14" s="1365" t="s">
        <v>784</v>
      </c>
      <c r="B14" s="1366" t="s">
        <v>785</v>
      </c>
      <c r="C14" s="1367"/>
      <c r="D14" s="1367"/>
      <c r="E14" s="1325"/>
      <c r="F14" s="1325"/>
      <c r="G14" s="1325"/>
      <c r="H14" s="1325"/>
      <c r="I14" s="1325"/>
      <c r="J14" s="1325"/>
      <c r="K14" s="1325"/>
      <c r="L14" s="1325"/>
      <c r="M14" s="1325"/>
      <c r="N14" s="1325"/>
      <c r="O14" s="1325"/>
      <c r="P14" s="1325"/>
      <c r="Q14" s="1325"/>
      <c r="R14" s="1325"/>
      <c r="S14" s="1325"/>
      <c r="T14" s="1325"/>
      <c r="U14" s="1325"/>
      <c r="V14" s="1325"/>
      <c r="W14" s="1325"/>
      <c r="X14" s="1325"/>
      <c r="Y14" s="1325"/>
      <c r="Z14" s="1325"/>
      <c r="AA14" s="1325"/>
      <c r="AB14" s="1325"/>
      <c r="AC14" s="1325"/>
      <c r="AD14" s="1325"/>
      <c r="AE14" s="1325"/>
      <c r="AF14" s="1325"/>
      <c r="AG14" s="1325"/>
      <c r="AH14" s="1325"/>
      <c r="AI14" s="1325"/>
      <c r="AJ14" s="1325"/>
      <c r="AK14" s="1325"/>
      <c r="AL14" s="1325"/>
      <c r="AM14" s="1325"/>
      <c r="AN14" s="1325"/>
      <c r="AO14" s="1325"/>
      <c r="AP14" s="1325"/>
      <c r="AQ14" s="1325"/>
      <c r="AR14" s="1325"/>
      <c r="AS14" s="1325"/>
      <c r="AT14" s="1325"/>
      <c r="AU14" s="1325"/>
      <c r="AV14" s="1325"/>
      <c r="AW14" s="1325"/>
      <c r="AX14" s="1325"/>
      <c r="AY14" s="1325"/>
      <c r="AZ14" s="1325"/>
      <c r="BA14" s="1325"/>
      <c r="BB14" s="1325"/>
      <c r="BC14" s="1325"/>
      <c r="BD14" s="1325"/>
      <c r="BE14" s="1325"/>
      <c r="BF14" s="1325"/>
      <c r="BG14" s="1325"/>
      <c r="BH14" s="1325"/>
      <c r="BI14" s="1325"/>
      <c r="BJ14" s="1325"/>
      <c r="BK14" s="1325"/>
      <c r="BL14" s="1325"/>
      <c r="BM14" s="1325"/>
      <c r="BN14" s="1325"/>
      <c r="BO14" s="1325"/>
      <c r="BP14" s="1325"/>
      <c r="BQ14" s="1325"/>
      <c r="BR14" s="1325"/>
      <c r="BS14" s="1325"/>
      <c r="BT14" s="1325"/>
      <c r="BU14" s="1325"/>
      <c r="BV14" s="1325"/>
      <c r="BW14" s="1325"/>
      <c r="BX14" s="1325"/>
      <c r="BY14" s="1325"/>
      <c r="BZ14" s="1325"/>
      <c r="CA14" s="1325"/>
      <c r="CB14" s="1325"/>
      <c r="CC14" s="1325"/>
      <c r="CD14" s="1325"/>
      <c r="CE14" s="1325"/>
      <c r="CF14" s="1325"/>
      <c r="CG14" s="1325"/>
      <c r="CH14" s="1325"/>
      <c r="CI14" s="1325"/>
      <c r="CJ14" s="1325"/>
      <c r="CK14" s="1325"/>
      <c r="CL14" s="1325"/>
      <c r="CM14" s="1325"/>
      <c r="CN14" s="1325"/>
      <c r="CO14" s="1325"/>
      <c r="CP14" s="1325"/>
      <c r="CQ14" s="1325"/>
      <c r="CR14" s="1325"/>
      <c r="CS14" s="1325"/>
      <c r="CT14" s="1325"/>
      <c r="CU14" s="1325"/>
      <c r="CV14" s="1325"/>
      <c r="CW14" s="1325"/>
      <c r="CX14" s="1325"/>
      <c r="CY14" s="1325"/>
      <c r="CZ14" s="1325"/>
      <c r="DA14" s="1325"/>
      <c r="DB14" s="1325"/>
      <c r="DC14" s="1325"/>
      <c r="DD14" s="1325"/>
      <c r="DE14" s="1325"/>
      <c r="DF14" s="1325"/>
      <c r="DG14" s="1325"/>
      <c r="DH14" s="1325"/>
      <c r="DI14" s="1325"/>
      <c r="DJ14" s="1325"/>
      <c r="DK14" s="1325"/>
      <c r="DL14" s="1325"/>
      <c r="DM14" s="1325"/>
      <c r="DN14" s="1325"/>
      <c r="DO14" s="1325"/>
      <c r="DP14" s="1325"/>
      <c r="DQ14" s="1325"/>
      <c r="DR14" s="1325"/>
      <c r="DS14" s="1325"/>
      <c r="DT14" s="1325"/>
      <c r="DU14" s="1325"/>
      <c r="DV14" s="1325"/>
      <c r="DW14" s="1325"/>
      <c r="DX14" s="1325"/>
      <c r="DY14" s="1325"/>
      <c r="DZ14" s="1325"/>
      <c r="EA14" s="1325"/>
      <c r="EB14" s="1325"/>
      <c r="EC14" s="1325"/>
      <c r="ED14" s="1325"/>
      <c r="EE14" s="1325"/>
      <c r="EF14" s="1325"/>
      <c r="EG14" s="1325"/>
      <c r="EH14" s="1325"/>
      <c r="EI14" s="1325"/>
      <c r="EJ14" s="1325"/>
      <c r="EK14" s="1325"/>
      <c r="EL14" s="1325"/>
      <c r="EM14" s="1325"/>
      <c r="EN14" s="1325"/>
      <c r="EO14" s="1325"/>
      <c r="EP14" s="1325"/>
      <c r="EQ14" s="1325"/>
      <c r="ER14" s="1325"/>
      <c r="ES14" s="1325"/>
      <c r="ET14" s="1325"/>
      <c r="EU14" s="1325"/>
      <c r="EV14" s="1325"/>
      <c r="EW14" s="1325"/>
      <c r="EX14" s="1325"/>
      <c r="EY14" s="1325"/>
      <c r="EZ14" s="1325"/>
      <c r="FA14" s="1325"/>
      <c r="FB14" s="1325"/>
      <c r="FC14" s="1325"/>
      <c r="FD14" s="1325"/>
      <c r="FE14" s="1325"/>
      <c r="FF14" s="1325"/>
      <c r="FG14" s="1325"/>
      <c r="FH14" s="1325"/>
      <c r="FI14" s="1325"/>
      <c r="FJ14" s="1325"/>
      <c r="FK14" s="1325"/>
      <c r="FL14" s="1325"/>
      <c r="FM14" s="1325"/>
      <c r="FN14" s="1325"/>
      <c r="FO14" s="1325"/>
      <c r="FP14" s="1325"/>
      <c r="FQ14" s="1325"/>
      <c r="FR14" s="1325"/>
      <c r="FS14" s="1325"/>
      <c r="FT14" s="1325"/>
      <c r="FU14" s="1325"/>
      <c r="FV14" s="1325"/>
      <c r="FW14" s="1325"/>
      <c r="FX14" s="1325"/>
      <c r="FY14" s="1325"/>
      <c r="FZ14" s="1325"/>
      <c r="GA14" s="1325"/>
      <c r="GB14" s="1325"/>
      <c r="GC14" s="1325"/>
      <c r="GD14" s="1325"/>
      <c r="GE14" s="1325"/>
      <c r="GF14" s="1325"/>
      <c r="GG14" s="1325"/>
      <c r="GH14" s="1325"/>
      <c r="GI14" s="1325"/>
      <c r="GJ14" s="1325"/>
      <c r="GK14" s="1325"/>
      <c r="GL14" s="1325"/>
      <c r="GM14" s="1325"/>
      <c r="GN14" s="1325"/>
      <c r="GO14" s="1325"/>
      <c r="GP14" s="1325"/>
      <c r="GQ14" s="1325"/>
      <c r="GR14" s="1325"/>
      <c r="GS14" s="1325"/>
      <c r="GT14" s="1325"/>
      <c r="GU14" s="1325"/>
      <c r="GV14" s="1325"/>
      <c r="GW14" s="1325"/>
      <c r="GX14" s="1325"/>
      <c r="GY14" s="1325"/>
      <c r="GZ14" s="1325"/>
      <c r="HA14" s="1325"/>
      <c r="HB14" s="1325"/>
      <c r="HC14" s="1325"/>
      <c r="HD14" s="1325"/>
      <c r="HE14" s="1325"/>
      <c r="HF14" s="1325"/>
      <c r="HG14" s="1325"/>
      <c r="HH14" s="1325"/>
      <c r="HI14" s="1325"/>
      <c r="HJ14" s="1325"/>
      <c r="HK14" s="1325"/>
      <c r="HL14" s="1325"/>
      <c r="HM14" s="1325"/>
      <c r="HN14" s="1325"/>
      <c r="HO14" s="1325"/>
      <c r="HP14" s="1325"/>
      <c r="HQ14" s="1325"/>
      <c r="HR14" s="1325"/>
      <c r="HS14" s="1325"/>
      <c r="HT14" s="1325"/>
      <c r="HU14" s="1325"/>
      <c r="HV14" s="1325"/>
      <c r="HW14" s="1325"/>
      <c r="HX14" s="1325"/>
      <c r="HY14" s="1325"/>
      <c r="HZ14" s="1325"/>
      <c r="IA14" s="1325"/>
      <c r="IB14" s="1325"/>
      <c r="IC14" s="1325"/>
      <c r="ID14" s="1325"/>
      <c r="IE14" s="1325"/>
      <c r="IF14" s="1325"/>
      <c r="IG14" s="1325"/>
      <c r="IH14" s="1325"/>
      <c r="II14" s="1325"/>
      <c r="IJ14" s="1325"/>
      <c r="IK14" s="1325"/>
      <c r="IL14" s="1325"/>
      <c r="IM14" s="1325"/>
      <c r="IN14" s="1325"/>
      <c r="IO14" s="1325"/>
      <c r="IP14" s="1325"/>
      <c r="IQ14" s="1325"/>
      <c r="IR14" s="1325"/>
      <c r="IS14" s="1325"/>
      <c r="IT14" s="1325"/>
      <c r="IU14" s="1325"/>
      <c r="IV14" s="1325"/>
    </row>
    <row r="15" spans="1:256" ht="47.25">
      <c r="A15" s="1365" t="s">
        <v>786</v>
      </c>
      <c r="B15" s="1366" t="s">
        <v>787</v>
      </c>
      <c r="C15" s="1367"/>
      <c r="D15" s="1367"/>
      <c r="E15" s="1325"/>
      <c r="F15" s="1325"/>
      <c r="G15" s="1325"/>
      <c r="H15" s="1325"/>
      <c r="I15" s="1325"/>
      <c r="J15" s="1325"/>
      <c r="K15" s="1325"/>
      <c r="L15" s="1325"/>
      <c r="M15" s="1325"/>
      <c r="N15" s="1325"/>
      <c r="O15" s="1325"/>
      <c r="P15" s="1325"/>
      <c r="Q15" s="1325"/>
      <c r="R15" s="1325"/>
      <c r="S15" s="1325"/>
      <c r="T15" s="1325"/>
      <c r="U15" s="1325"/>
      <c r="V15" s="1325"/>
      <c r="W15" s="1325"/>
      <c r="X15" s="1325"/>
      <c r="Y15" s="1325"/>
      <c r="Z15" s="1325"/>
      <c r="AA15" s="1325"/>
      <c r="AB15" s="1325"/>
      <c r="AC15" s="1325"/>
      <c r="AD15" s="1325"/>
      <c r="AE15" s="1325"/>
      <c r="AF15" s="1325"/>
      <c r="AG15" s="1325"/>
      <c r="AH15" s="1325"/>
      <c r="AI15" s="1325"/>
      <c r="AJ15" s="1325"/>
      <c r="AK15" s="1325"/>
      <c r="AL15" s="1325"/>
      <c r="AM15" s="1325"/>
      <c r="AN15" s="1325"/>
      <c r="AO15" s="1325"/>
      <c r="AP15" s="1325"/>
      <c r="AQ15" s="1325"/>
      <c r="AR15" s="1325"/>
      <c r="AS15" s="1325"/>
      <c r="AT15" s="1325"/>
      <c r="AU15" s="1325"/>
      <c r="AV15" s="1325"/>
      <c r="AW15" s="1325"/>
      <c r="AX15" s="1325"/>
      <c r="AY15" s="1325"/>
      <c r="AZ15" s="1325"/>
      <c r="BA15" s="1325"/>
      <c r="BB15" s="1325"/>
      <c r="BC15" s="1325"/>
      <c r="BD15" s="1325"/>
      <c r="BE15" s="1325"/>
      <c r="BF15" s="1325"/>
      <c r="BG15" s="1325"/>
      <c r="BH15" s="1325"/>
      <c r="BI15" s="1325"/>
      <c r="BJ15" s="1325"/>
      <c r="BK15" s="1325"/>
      <c r="BL15" s="1325"/>
      <c r="BM15" s="1325"/>
      <c r="BN15" s="1325"/>
      <c r="BO15" s="1325"/>
      <c r="BP15" s="1325"/>
      <c r="BQ15" s="1325"/>
      <c r="BR15" s="1325"/>
      <c r="BS15" s="1325"/>
      <c r="BT15" s="1325"/>
      <c r="BU15" s="1325"/>
      <c r="BV15" s="1325"/>
      <c r="BW15" s="1325"/>
      <c r="BX15" s="1325"/>
      <c r="BY15" s="1325"/>
      <c r="BZ15" s="1325"/>
      <c r="CA15" s="1325"/>
      <c r="CB15" s="1325"/>
      <c r="CC15" s="1325"/>
      <c r="CD15" s="1325"/>
      <c r="CE15" s="1325"/>
      <c r="CF15" s="1325"/>
      <c r="CG15" s="1325"/>
      <c r="CH15" s="1325"/>
      <c r="CI15" s="1325"/>
      <c r="CJ15" s="1325"/>
      <c r="CK15" s="1325"/>
      <c r="CL15" s="1325"/>
      <c r="CM15" s="1325"/>
      <c r="CN15" s="1325"/>
      <c r="CO15" s="1325"/>
      <c r="CP15" s="1325"/>
      <c r="CQ15" s="1325"/>
      <c r="CR15" s="1325"/>
      <c r="CS15" s="1325"/>
      <c r="CT15" s="1325"/>
      <c r="CU15" s="1325"/>
      <c r="CV15" s="1325"/>
      <c r="CW15" s="1325"/>
      <c r="CX15" s="1325"/>
      <c r="CY15" s="1325"/>
      <c r="CZ15" s="1325"/>
      <c r="DA15" s="1325"/>
      <c r="DB15" s="1325"/>
      <c r="DC15" s="1325"/>
      <c r="DD15" s="1325"/>
      <c r="DE15" s="1325"/>
      <c r="DF15" s="1325"/>
      <c r="DG15" s="1325"/>
      <c r="DH15" s="1325"/>
      <c r="DI15" s="1325"/>
      <c r="DJ15" s="1325"/>
      <c r="DK15" s="1325"/>
      <c r="DL15" s="1325"/>
      <c r="DM15" s="1325"/>
      <c r="DN15" s="1325"/>
      <c r="DO15" s="1325"/>
      <c r="DP15" s="1325"/>
      <c r="DQ15" s="1325"/>
      <c r="DR15" s="1325"/>
      <c r="DS15" s="1325"/>
      <c r="DT15" s="1325"/>
      <c r="DU15" s="1325"/>
      <c r="DV15" s="1325"/>
      <c r="DW15" s="1325"/>
      <c r="DX15" s="1325"/>
      <c r="DY15" s="1325"/>
      <c r="DZ15" s="1325"/>
      <c r="EA15" s="1325"/>
      <c r="EB15" s="1325"/>
      <c r="EC15" s="1325"/>
      <c r="ED15" s="1325"/>
      <c r="EE15" s="1325"/>
      <c r="EF15" s="1325"/>
      <c r="EG15" s="1325"/>
      <c r="EH15" s="1325"/>
      <c r="EI15" s="1325"/>
      <c r="EJ15" s="1325"/>
      <c r="EK15" s="1325"/>
      <c r="EL15" s="1325"/>
      <c r="EM15" s="1325"/>
      <c r="EN15" s="1325"/>
      <c r="EO15" s="1325"/>
      <c r="EP15" s="1325"/>
      <c r="EQ15" s="1325"/>
      <c r="ER15" s="1325"/>
      <c r="ES15" s="1325"/>
      <c r="ET15" s="1325"/>
      <c r="EU15" s="1325"/>
      <c r="EV15" s="1325"/>
      <c r="EW15" s="1325"/>
      <c r="EX15" s="1325"/>
      <c r="EY15" s="1325"/>
      <c r="EZ15" s="1325"/>
      <c r="FA15" s="1325"/>
      <c r="FB15" s="1325"/>
      <c r="FC15" s="1325"/>
      <c r="FD15" s="1325"/>
      <c r="FE15" s="1325"/>
      <c r="FF15" s="1325"/>
      <c r="FG15" s="1325"/>
      <c r="FH15" s="1325"/>
      <c r="FI15" s="1325"/>
      <c r="FJ15" s="1325"/>
      <c r="FK15" s="1325"/>
      <c r="FL15" s="1325"/>
      <c r="FM15" s="1325"/>
      <c r="FN15" s="1325"/>
      <c r="FO15" s="1325"/>
      <c r="FP15" s="1325"/>
      <c r="FQ15" s="1325"/>
      <c r="FR15" s="1325"/>
      <c r="FS15" s="1325"/>
      <c r="FT15" s="1325"/>
      <c r="FU15" s="1325"/>
      <c r="FV15" s="1325"/>
      <c r="FW15" s="1325"/>
      <c r="FX15" s="1325"/>
      <c r="FY15" s="1325"/>
      <c r="FZ15" s="1325"/>
      <c r="GA15" s="1325"/>
      <c r="GB15" s="1325"/>
      <c r="GC15" s="1325"/>
      <c r="GD15" s="1325"/>
      <c r="GE15" s="1325"/>
      <c r="GF15" s="1325"/>
      <c r="GG15" s="1325"/>
      <c r="GH15" s="1325"/>
      <c r="GI15" s="1325"/>
      <c r="GJ15" s="1325"/>
      <c r="GK15" s="1325"/>
      <c r="GL15" s="1325"/>
      <c r="GM15" s="1325"/>
      <c r="GN15" s="1325"/>
      <c r="GO15" s="1325"/>
      <c r="GP15" s="1325"/>
      <c r="GQ15" s="1325"/>
      <c r="GR15" s="1325"/>
      <c r="GS15" s="1325"/>
      <c r="GT15" s="1325"/>
      <c r="GU15" s="1325"/>
      <c r="GV15" s="1325"/>
      <c r="GW15" s="1325"/>
      <c r="GX15" s="1325"/>
      <c r="GY15" s="1325"/>
      <c r="GZ15" s="1325"/>
      <c r="HA15" s="1325"/>
      <c r="HB15" s="1325"/>
      <c r="HC15" s="1325"/>
      <c r="HD15" s="1325"/>
      <c r="HE15" s="1325"/>
      <c r="HF15" s="1325"/>
      <c r="HG15" s="1325"/>
      <c r="HH15" s="1325"/>
      <c r="HI15" s="1325"/>
      <c r="HJ15" s="1325"/>
      <c r="HK15" s="1325"/>
      <c r="HL15" s="1325"/>
      <c r="HM15" s="1325"/>
      <c r="HN15" s="1325"/>
      <c r="HO15" s="1325"/>
      <c r="HP15" s="1325"/>
      <c r="HQ15" s="1325"/>
      <c r="HR15" s="1325"/>
      <c r="HS15" s="1325"/>
      <c r="HT15" s="1325"/>
      <c r="HU15" s="1325"/>
      <c r="HV15" s="1325"/>
      <c r="HW15" s="1325"/>
      <c r="HX15" s="1325"/>
      <c r="HY15" s="1325"/>
      <c r="HZ15" s="1325"/>
      <c r="IA15" s="1325"/>
      <c r="IB15" s="1325"/>
      <c r="IC15" s="1325"/>
      <c r="ID15" s="1325"/>
      <c r="IE15" s="1325"/>
      <c r="IF15" s="1325"/>
      <c r="IG15" s="1325"/>
      <c r="IH15" s="1325"/>
      <c r="II15" s="1325"/>
      <c r="IJ15" s="1325"/>
      <c r="IK15" s="1325"/>
      <c r="IL15" s="1325"/>
      <c r="IM15" s="1325"/>
      <c r="IN15" s="1325"/>
      <c r="IO15" s="1325"/>
      <c r="IP15" s="1325"/>
      <c r="IQ15" s="1325"/>
      <c r="IR15" s="1325"/>
      <c r="IS15" s="1325"/>
      <c r="IT15" s="1325"/>
      <c r="IU15" s="1325"/>
      <c r="IV15" s="1325"/>
    </row>
    <row r="16" spans="1:256" ht="31.5">
      <c r="A16" s="1365" t="s">
        <v>788</v>
      </c>
      <c r="B16" s="1366" t="s">
        <v>384</v>
      </c>
      <c r="C16" s="1367"/>
      <c r="D16" s="1367"/>
      <c r="E16" s="1325"/>
      <c r="F16" s="1325"/>
      <c r="G16" s="1325"/>
      <c r="H16" s="1325"/>
      <c r="I16" s="1325"/>
      <c r="J16" s="1325"/>
      <c r="K16" s="1325"/>
      <c r="L16" s="1325"/>
      <c r="M16" s="1325"/>
      <c r="N16" s="1325"/>
      <c r="O16" s="1325"/>
      <c r="P16" s="1325"/>
      <c r="Q16" s="1325"/>
      <c r="R16" s="1325"/>
      <c r="S16" s="1325"/>
      <c r="T16" s="1325"/>
      <c r="U16" s="1325"/>
      <c r="V16" s="1325"/>
      <c r="W16" s="1325"/>
      <c r="X16" s="1325"/>
      <c r="Y16" s="1325"/>
      <c r="Z16" s="1325"/>
      <c r="AA16" s="1325"/>
      <c r="AB16" s="1325"/>
      <c r="AC16" s="1325"/>
      <c r="AD16" s="1325"/>
      <c r="AE16" s="1325"/>
      <c r="AF16" s="1325"/>
      <c r="AG16" s="1325"/>
      <c r="AH16" s="1325"/>
      <c r="AI16" s="1325"/>
      <c r="AJ16" s="1325"/>
      <c r="AK16" s="1325"/>
      <c r="AL16" s="1325"/>
      <c r="AM16" s="1325"/>
      <c r="AN16" s="1325"/>
      <c r="AO16" s="1325"/>
      <c r="AP16" s="1325"/>
      <c r="AQ16" s="1325"/>
      <c r="AR16" s="1325"/>
      <c r="AS16" s="1325"/>
      <c r="AT16" s="1325"/>
      <c r="AU16" s="1325"/>
      <c r="AV16" s="1325"/>
      <c r="AW16" s="1325"/>
      <c r="AX16" s="1325"/>
      <c r="AY16" s="1325"/>
      <c r="AZ16" s="1325"/>
      <c r="BA16" s="1325"/>
      <c r="BB16" s="1325"/>
      <c r="BC16" s="1325"/>
      <c r="BD16" s="1325"/>
      <c r="BE16" s="1325"/>
      <c r="BF16" s="1325"/>
      <c r="BG16" s="1325"/>
      <c r="BH16" s="1325"/>
      <c r="BI16" s="1325"/>
      <c r="BJ16" s="1325"/>
      <c r="BK16" s="1325"/>
      <c r="BL16" s="1325"/>
      <c r="BM16" s="1325"/>
      <c r="BN16" s="1325"/>
      <c r="BO16" s="1325"/>
      <c r="BP16" s="1325"/>
      <c r="BQ16" s="1325"/>
      <c r="BR16" s="1325"/>
      <c r="BS16" s="1325"/>
      <c r="BT16" s="1325"/>
      <c r="BU16" s="1325"/>
      <c r="BV16" s="1325"/>
      <c r="BW16" s="1325"/>
      <c r="BX16" s="1325"/>
      <c r="BY16" s="1325"/>
      <c r="BZ16" s="1325"/>
      <c r="CA16" s="1325"/>
      <c r="CB16" s="1325"/>
      <c r="CC16" s="1325"/>
      <c r="CD16" s="1325"/>
      <c r="CE16" s="1325"/>
      <c r="CF16" s="1325"/>
      <c r="CG16" s="1325"/>
      <c r="CH16" s="1325"/>
      <c r="CI16" s="1325"/>
      <c r="CJ16" s="1325"/>
      <c r="CK16" s="1325"/>
      <c r="CL16" s="1325"/>
      <c r="CM16" s="1325"/>
      <c r="CN16" s="1325"/>
      <c r="CO16" s="1325"/>
      <c r="CP16" s="1325"/>
      <c r="CQ16" s="1325"/>
      <c r="CR16" s="1325"/>
      <c r="CS16" s="1325"/>
      <c r="CT16" s="1325"/>
      <c r="CU16" s="1325"/>
      <c r="CV16" s="1325"/>
      <c r="CW16" s="1325"/>
      <c r="CX16" s="1325"/>
      <c r="CY16" s="1325"/>
      <c r="CZ16" s="1325"/>
      <c r="DA16" s="1325"/>
      <c r="DB16" s="1325"/>
      <c r="DC16" s="1325"/>
      <c r="DD16" s="1325"/>
      <c r="DE16" s="1325"/>
      <c r="DF16" s="1325"/>
      <c r="DG16" s="1325"/>
      <c r="DH16" s="1325"/>
      <c r="DI16" s="1325"/>
      <c r="DJ16" s="1325"/>
      <c r="DK16" s="1325"/>
      <c r="DL16" s="1325"/>
      <c r="DM16" s="1325"/>
      <c r="DN16" s="1325"/>
      <c r="DO16" s="1325"/>
      <c r="DP16" s="1325"/>
      <c r="DQ16" s="1325"/>
      <c r="DR16" s="1325"/>
      <c r="DS16" s="1325"/>
      <c r="DT16" s="1325"/>
      <c r="DU16" s="1325"/>
      <c r="DV16" s="1325"/>
      <c r="DW16" s="1325"/>
      <c r="DX16" s="1325"/>
      <c r="DY16" s="1325"/>
      <c r="DZ16" s="1325"/>
      <c r="EA16" s="1325"/>
      <c r="EB16" s="1325"/>
      <c r="EC16" s="1325"/>
      <c r="ED16" s="1325"/>
      <c r="EE16" s="1325"/>
      <c r="EF16" s="1325"/>
      <c r="EG16" s="1325"/>
      <c r="EH16" s="1325"/>
      <c r="EI16" s="1325"/>
      <c r="EJ16" s="1325"/>
      <c r="EK16" s="1325"/>
      <c r="EL16" s="1325"/>
      <c r="EM16" s="1325"/>
      <c r="EN16" s="1325"/>
      <c r="EO16" s="1325"/>
      <c r="EP16" s="1325"/>
      <c r="EQ16" s="1325"/>
      <c r="ER16" s="1325"/>
      <c r="ES16" s="1325"/>
      <c r="ET16" s="1325"/>
      <c r="EU16" s="1325"/>
      <c r="EV16" s="1325"/>
      <c r="EW16" s="1325"/>
      <c r="EX16" s="1325"/>
      <c r="EY16" s="1325"/>
      <c r="EZ16" s="1325"/>
      <c r="FA16" s="1325"/>
      <c r="FB16" s="1325"/>
      <c r="FC16" s="1325"/>
      <c r="FD16" s="1325"/>
      <c r="FE16" s="1325"/>
      <c r="FF16" s="1325"/>
      <c r="FG16" s="1325"/>
      <c r="FH16" s="1325"/>
      <c r="FI16" s="1325"/>
      <c r="FJ16" s="1325"/>
      <c r="FK16" s="1325"/>
      <c r="FL16" s="1325"/>
      <c r="FM16" s="1325"/>
      <c r="FN16" s="1325"/>
      <c r="FO16" s="1325"/>
      <c r="FP16" s="1325"/>
      <c r="FQ16" s="1325"/>
      <c r="FR16" s="1325"/>
      <c r="FS16" s="1325"/>
      <c r="FT16" s="1325"/>
      <c r="FU16" s="1325"/>
      <c r="FV16" s="1325"/>
      <c r="FW16" s="1325"/>
      <c r="FX16" s="1325"/>
      <c r="FY16" s="1325"/>
      <c r="FZ16" s="1325"/>
      <c r="GA16" s="1325"/>
      <c r="GB16" s="1325"/>
      <c r="GC16" s="1325"/>
      <c r="GD16" s="1325"/>
      <c r="GE16" s="1325"/>
      <c r="GF16" s="1325"/>
      <c r="GG16" s="1325"/>
      <c r="GH16" s="1325"/>
      <c r="GI16" s="1325"/>
      <c r="GJ16" s="1325"/>
      <c r="GK16" s="1325"/>
      <c r="GL16" s="1325"/>
      <c r="GM16" s="1325"/>
      <c r="GN16" s="1325"/>
      <c r="GO16" s="1325"/>
      <c r="GP16" s="1325"/>
      <c r="GQ16" s="1325"/>
      <c r="GR16" s="1325"/>
      <c r="GS16" s="1325"/>
      <c r="GT16" s="1325"/>
      <c r="GU16" s="1325"/>
      <c r="GV16" s="1325"/>
      <c r="GW16" s="1325"/>
      <c r="GX16" s="1325"/>
      <c r="GY16" s="1325"/>
      <c r="GZ16" s="1325"/>
      <c r="HA16" s="1325"/>
      <c r="HB16" s="1325"/>
      <c r="HC16" s="1325"/>
      <c r="HD16" s="1325"/>
      <c r="HE16" s="1325"/>
      <c r="HF16" s="1325"/>
      <c r="HG16" s="1325"/>
      <c r="HH16" s="1325"/>
      <c r="HI16" s="1325"/>
      <c r="HJ16" s="1325"/>
      <c r="HK16" s="1325"/>
      <c r="HL16" s="1325"/>
      <c r="HM16" s="1325"/>
      <c r="HN16" s="1325"/>
      <c r="HO16" s="1325"/>
      <c r="HP16" s="1325"/>
      <c r="HQ16" s="1325"/>
      <c r="HR16" s="1325"/>
      <c r="HS16" s="1325"/>
      <c r="HT16" s="1325"/>
      <c r="HU16" s="1325"/>
      <c r="HV16" s="1325"/>
      <c r="HW16" s="1325"/>
      <c r="HX16" s="1325"/>
      <c r="HY16" s="1325"/>
      <c r="HZ16" s="1325"/>
      <c r="IA16" s="1325"/>
      <c r="IB16" s="1325"/>
      <c r="IC16" s="1325"/>
      <c r="ID16" s="1325"/>
      <c r="IE16" s="1325"/>
      <c r="IF16" s="1325"/>
      <c r="IG16" s="1325"/>
      <c r="IH16" s="1325"/>
      <c r="II16" s="1325"/>
      <c r="IJ16" s="1325"/>
      <c r="IK16" s="1325"/>
      <c r="IL16" s="1325"/>
      <c r="IM16" s="1325"/>
      <c r="IN16" s="1325"/>
      <c r="IO16" s="1325"/>
      <c r="IP16" s="1325"/>
      <c r="IQ16" s="1325"/>
      <c r="IR16" s="1325"/>
      <c r="IS16" s="1325"/>
      <c r="IT16" s="1325"/>
      <c r="IU16" s="1325"/>
      <c r="IV16" s="1325"/>
    </row>
    <row r="17" spans="1:256" ht="15.75">
      <c r="A17" s="1365" t="s">
        <v>789</v>
      </c>
      <c r="B17" s="1366" t="s">
        <v>404</v>
      </c>
      <c r="C17" s="1367"/>
      <c r="D17" s="1367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1325"/>
      <c r="AG17" s="1325"/>
      <c r="AH17" s="1325"/>
      <c r="AI17" s="1325"/>
      <c r="AJ17" s="1325"/>
      <c r="AK17" s="1325"/>
      <c r="AL17" s="1325"/>
      <c r="AM17" s="1325"/>
      <c r="AN17" s="1325"/>
      <c r="AO17" s="1325"/>
      <c r="AP17" s="1325"/>
      <c r="AQ17" s="1325"/>
      <c r="AR17" s="1325"/>
      <c r="AS17" s="1325"/>
      <c r="AT17" s="1325"/>
      <c r="AU17" s="1325"/>
      <c r="AV17" s="1325"/>
      <c r="AW17" s="1325"/>
      <c r="AX17" s="1325"/>
      <c r="AY17" s="1325"/>
      <c r="AZ17" s="1325"/>
      <c r="BA17" s="1325"/>
      <c r="BB17" s="1325"/>
      <c r="BC17" s="1325"/>
      <c r="BD17" s="1325"/>
      <c r="BE17" s="1325"/>
      <c r="BF17" s="1325"/>
      <c r="BG17" s="1325"/>
      <c r="BH17" s="1325"/>
      <c r="BI17" s="1325"/>
      <c r="BJ17" s="1325"/>
      <c r="BK17" s="1325"/>
      <c r="BL17" s="1325"/>
      <c r="BM17" s="1325"/>
      <c r="BN17" s="1325"/>
      <c r="BO17" s="1325"/>
      <c r="BP17" s="1325"/>
      <c r="BQ17" s="1325"/>
      <c r="BR17" s="1325"/>
      <c r="BS17" s="1325"/>
      <c r="BT17" s="1325"/>
      <c r="BU17" s="1325"/>
      <c r="BV17" s="1325"/>
      <c r="BW17" s="1325"/>
      <c r="BX17" s="1325"/>
      <c r="BY17" s="1325"/>
      <c r="BZ17" s="1325"/>
      <c r="CA17" s="1325"/>
      <c r="CB17" s="1325"/>
      <c r="CC17" s="1325"/>
      <c r="CD17" s="1325"/>
      <c r="CE17" s="1325"/>
      <c r="CF17" s="1325"/>
      <c r="CG17" s="1325"/>
      <c r="CH17" s="1325"/>
      <c r="CI17" s="1325"/>
      <c r="CJ17" s="1325"/>
      <c r="CK17" s="1325"/>
      <c r="CL17" s="1325"/>
      <c r="CM17" s="1325"/>
      <c r="CN17" s="1325"/>
      <c r="CO17" s="1325"/>
      <c r="CP17" s="1325"/>
      <c r="CQ17" s="1325"/>
      <c r="CR17" s="1325"/>
      <c r="CS17" s="1325"/>
      <c r="CT17" s="1325"/>
      <c r="CU17" s="1325"/>
      <c r="CV17" s="1325"/>
      <c r="CW17" s="1325"/>
      <c r="CX17" s="1325"/>
      <c r="CY17" s="1325"/>
      <c r="CZ17" s="1325"/>
      <c r="DA17" s="1325"/>
      <c r="DB17" s="1325"/>
      <c r="DC17" s="1325"/>
      <c r="DD17" s="1325"/>
      <c r="DE17" s="1325"/>
      <c r="DF17" s="1325"/>
      <c r="DG17" s="1325"/>
      <c r="DH17" s="1325"/>
      <c r="DI17" s="1325"/>
      <c r="DJ17" s="1325"/>
      <c r="DK17" s="1325"/>
      <c r="DL17" s="1325"/>
      <c r="DM17" s="1325"/>
      <c r="DN17" s="1325"/>
      <c r="DO17" s="1325"/>
      <c r="DP17" s="1325"/>
      <c r="DQ17" s="1325"/>
      <c r="DR17" s="1325"/>
      <c r="DS17" s="1325"/>
      <c r="DT17" s="1325"/>
      <c r="DU17" s="1325"/>
      <c r="DV17" s="1325"/>
      <c r="DW17" s="1325"/>
      <c r="DX17" s="1325"/>
      <c r="DY17" s="1325"/>
      <c r="DZ17" s="1325"/>
      <c r="EA17" s="1325"/>
      <c r="EB17" s="1325"/>
      <c r="EC17" s="1325"/>
      <c r="ED17" s="1325"/>
      <c r="EE17" s="1325"/>
      <c r="EF17" s="1325"/>
      <c r="EG17" s="1325"/>
      <c r="EH17" s="1325"/>
      <c r="EI17" s="1325"/>
      <c r="EJ17" s="1325"/>
      <c r="EK17" s="1325"/>
      <c r="EL17" s="1325"/>
      <c r="EM17" s="1325"/>
      <c r="EN17" s="1325"/>
      <c r="EO17" s="1325"/>
      <c r="EP17" s="1325"/>
      <c r="EQ17" s="1325"/>
      <c r="ER17" s="1325"/>
      <c r="ES17" s="1325"/>
      <c r="ET17" s="1325"/>
      <c r="EU17" s="1325"/>
      <c r="EV17" s="1325"/>
      <c r="EW17" s="1325"/>
      <c r="EX17" s="1325"/>
      <c r="EY17" s="1325"/>
      <c r="EZ17" s="1325"/>
      <c r="FA17" s="1325"/>
      <c r="FB17" s="1325"/>
      <c r="FC17" s="1325"/>
      <c r="FD17" s="1325"/>
      <c r="FE17" s="1325"/>
      <c r="FF17" s="1325"/>
      <c r="FG17" s="1325"/>
      <c r="FH17" s="1325"/>
      <c r="FI17" s="1325"/>
      <c r="FJ17" s="1325"/>
      <c r="FK17" s="1325"/>
      <c r="FL17" s="1325"/>
      <c r="FM17" s="1325"/>
      <c r="FN17" s="1325"/>
      <c r="FO17" s="1325"/>
      <c r="FP17" s="1325"/>
      <c r="FQ17" s="1325"/>
      <c r="FR17" s="1325"/>
      <c r="FS17" s="1325"/>
      <c r="FT17" s="1325"/>
      <c r="FU17" s="1325"/>
      <c r="FV17" s="1325"/>
      <c r="FW17" s="1325"/>
      <c r="FX17" s="1325"/>
      <c r="FY17" s="1325"/>
      <c r="FZ17" s="1325"/>
      <c r="GA17" s="1325"/>
      <c r="GB17" s="1325"/>
      <c r="GC17" s="1325"/>
      <c r="GD17" s="1325"/>
      <c r="GE17" s="1325"/>
      <c r="GF17" s="1325"/>
      <c r="GG17" s="1325"/>
      <c r="GH17" s="1325"/>
      <c r="GI17" s="1325"/>
      <c r="GJ17" s="1325"/>
      <c r="GK17" s="1325"/>
      <c r="GL17" s="1325"/>
      <c r="GM17" s="1325"/>
      <c r="GN17" s="1325"/>
      <c r="GO17" s="1325"/>
      <c r="GP17" s="1325"/>
      <c r="GQ17" s="1325"/>
      <c r="GR17" s="1325"/>
      <c r="GS17" s="1325"/>
      <c r="GT17" s="1325"/>
      <c r="GU17" s="1325"/>
      <c r="GV17" s="1325"/>
      <c r="GW17" s="1325"/>
      <c r="GX17" s="1325"/>
      <c r="GY17" s="1325"/>
      <c r="GZ17" s="1325"/>
      <c r="HA17" s="1325"/>
      <c r="HB17" s="1325"/>
      <c r="HC17" s="1325"/>
      <c r="HD17" s="1325"/>
      <c r="HE17" s="1325"/>
      <c r="HF17" s="1325"/>
      <c r="HG17" s="1325"/>
      <c r="HH17" s="1325"/>
      <c r="HI17" s="1325"/>
      <c r="HJ17" s="1325"/>
      <c r="HK17" s="1325"/>
      <c r="HL17" s="1325"/>
      <c r="HM17" s="1325"/>
      <c r="HN17" s="1325"/>
      <c r="HO17" s="1325"/>
      <c r="HP17" s="1325"/>
      <c r="HQ17" s="1325"/>
      <c r="HR17" s="1325"/>
      <c r="HS17" s="1325"/>
      <c r="HT17" s="1325"/>
      <c r="HU17" s="1325"/>
      <c r="HV17" s="1325"/>
      <c r="HW17" s="1325"/>
      <c r="HX17" s="1325"/>
      <c r="HY17" s="1325"/>
      <c r="HZ17" s="1325"/>
      <c r="IA17" s="1325"/>
      <c r="IB17" s="1325"/>
      <c r="IC17" s="1325"/>
      <c r="ID17" s="1325"/>
      <c r="IE17" s="1325"/>
      <c r="IF17" s="1325"/>
      <c r="IG17" s="1325"/>
      <c r="IH17" s="1325"/>
      <c r="II17" s="1325"/>
      <c r="IJ17" s="1325"/>
      <c r="IK17" s="1325"/>
      <c r="IL17" s="1325"/>
      <c r="IM17" s="1325"/>
      <c r="IN17" s="1325"/>
      <c r="IO17" s="1325"/>
      <c r="IP17" s="1325"/>
      <c r="IQ17" s="1325"/>
      <c r="IR17" s="1325"/>
      <c r="IS17" s="1325"/>
      <c r="IT17" s="1325"/>
      <c r="IU17" s="1325"/>
      <c r="IV17" s="1325"/>
    </row>
    <row r="18" spans="1:256" ht="31.5">
      <c r="A18" s="1368" t="s">
        <v>790</v>
      </c>
      <c r="B18" s="1369" t="s">
        <v>405</v>
      </c>
      <c r="C18" s="1371">
        <f>SUM(C19:C22)</f>
        <v>11292942</v>
      </c>
      <c r="D18" s="1371">
        <f>SUM(D19:D22)</f>
        <v>482977</v>
      </c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1325"/>
      <c r="T18" s="1325"/>
      <c r="U18" s="1325"/>
      <c r="V18" s="1325"/>
      <c r="W18" s="1325"/>
      <c r="X18" s="1325"/>
      <c r="Y18" s="1325"/>
      <c r="Z18" s="1325"/>
      <c r="AA18" s="1325"/>
      <c r="AB18" s="1325"/>
      <c r="AC18" s="1325"/>
      <c r="AD18" s="1325"/>
      <c r="AE18" s="1325"/>
      <c r="AF18" s="1325"/>
      <c r="AG18" s="1325"/>
      <c r="AH18" s="1325"/>
      <c r="AI18" s="1325"/>
      <c r="AJ18" s="1325"/>
      <c r="AK18" s="1325"/>
      <c r="AL18" s="1325"/>
      <c r="AM18" s="1325"/>
      <c r="AN18" s="1325"/>
      <c r="AO18" s="1325"/>
      <c r="AP18" s="1325"/>
      <c r="AQ18" s="1325"/>
      <c r="AR18" s="1325"/>
      <c r="AS18" s="1325"/>
      <c r="AT18" s="1325"/>
      <c r="AU18" s="1325"/>
      <c r="AV18" s="1325"/>
      <c r="AW18" s="1325"/>
      <c r="AX18" s="1325"/>
      <c r="AY18" s="1325"/>
      <c r="AZ18" s="1325"/>
      <c r="BA18" s="1325"/>
      <c r="BB18" s="1325"/>
      <c r="BC18" s="1325"/>
      <c r="BD18" s="1325"/>
      <c r="BE18" s="1325"/>
      <c r="BF18" s="1325"/>
      <c r="BG18" s="1325"/>
      <c r="BH18" s="1325"/>
      <c r="BI18" s="1325"/>
      <c r="BJ18" s="1325"/>
      <c r="BK18" s="1325"/>
      <c r="BL18" s="1325"/>
      <c r="BM18" s="1325"/>
      <c r="BN18" s="1325"/>
      <c r="BO18" s="1325"/>
      <c r="BP18" s="1325"/>
      <c r="BQ18" s="1325"/>
      <c r="BR18" s="1325"/>
      <c r="BS18" s="1325"/>
      <c r="BT18" s="1325"/>
      <c r="BU18" s="1325"/>
      <c r="BV18" s="1325"/>
      <c r="BW18" s="1325"/>
      <c r="BX18" s="1325"/>
      <c r="BY18" s="1325"/>
      <c r="BZ18" s="1325"/>
      <c r="CA18" s="1325"/>
      <c r="CB18" s="1325"/>
      <c r="CC18" s="1325"/>
      <c r="CD18" s="1325"/>
      <c r="CE18" s="1325"/>
      <c r="CF18" s="1325"/>
      <c r="CG18" s="1325"/>
      <c r="CH18" s="1325"/>
      <c r="CI18" s="1325"/>
      <c r="CJ18" s="1325"/>
      <c r="CK18" s="1325"/>
      <c r="CL18" s="1325"/>
      <c r="CM18" s="1325"/>
      <c r="CN18" s="1325"/>
      <c r="CO18" s="1325"/>
      <c r="CP18" s="1325"/>
      <c r="CQ18" s="1325"/>
      <c r="CR18" s="1325"/>
      <c r="CS18" s="1325"/>
      <c r="CT18" s="1325"/>
      <c r="CU18" s="1325"/>
      <c r="CV18" s="1325"/>
      <c r="CW18" s="1325"/>
      <c r="CX18" s="1325"/>
      <c r="CY18" s="1325"/>
      <c r="CZ18" s="1325"/>
      <c r="DA18" s="1325"/>
      <c r="DB18" s="1325"/>
      <c r="DC18" s="1325"/>
      <c r="DD18" s="1325"/>
      <c r="DE18" s="1325"/>
      <c r="DF18" s="1325"/>
      <c r="DG18" s="1325"/>
      <c r="DH18" s="1325"/>
      <c r="DI18" s="1325"/>
      <c r="DJ18" s="1325"/>
      <c r="DK18" s="1325"/>
      <c r="DL18" s="1325"/>
      <c r="DM18" s="1325"/>
      <c r="DN18" s="1325"/>
      <c r="DO18" s="1325"/>
      <c r="DP18" s="1325"/>
      <c r="DQ18" s="1325"/>
      <c r="DR18" s="1325"/>
      <c r="DS18" s="1325"/>
      <c r="DT18" s="1325"/>
      <c r="DU18" s="1325"/>
      <c r="DV18" s="1325"/>
      <c r="DW18" s="1325"/>
      <c r="DX18" s="1325"/>
      <c r="DY18" s="1325"/>
      <c r="DZ18" s="1325"/>
      <c r="EA18" s="1325"/>
      <c r="EB18" s="1325"/>
      <c r="EC18" s="1325"/>
      <c r="ED18" s="1325"/>
      <c r="EE18" s="1325"/>
      <c r="EF18" s="1325"/>
      <c r="EG18" s="1325"/>
      <c r="EH18" s="1325"/>
      <c r="EI18" s="1325"/>
      <c r="EJ18" s="1325"/>
      <c r="EK18" s="1325"/>
      <c r="EL18" s="1325"/>
      <c r="EM18" s="1325"/>
      <c r="EN18" s="1325"/>
      <c r="EO18" s="1325"/>
      <c r="EP18" s="1325"/>
      <c r="EQ18" s="1325"/>
      <c r="ER18" s="1325"/>
      <c r="ES18" s="1325"/>
      <c r="ET18" s="1325"/>
      <c r="EU18" s="1325"/>
      <c r="EV18" s="1325"/>
      <c r="EW18" s="1325"/>
      <c r="EX18" s="1325"/>
      <c r="EY18" s="1325"/>
      <c r="EZ18" s="1325"/>
      <c r="FA18" s="1325"/>
      <c r="FB18" s="1325"/>
      <c r="FC18" s="1325"/>
      <c r="FD18" s="1325"/>
      <c r="FE18" s="1325"/>
      <c r="FF18" s="1325"/>
      <c r="FG18" s="1325"/>
      <c r="FH18" s="1325"/>
      <c r="FI18" s="1325"/>
      <c r="FJ18" s="1325"/>
      <c r="FK18" s="1325"/>
      <c r="FL18" s="1325"/>
      <c r="FM18" s="1325"/>
      <c r="FN18" s="1325"/>
      <c r="FO18" s="1325"/>
      <c r="FP18" s="1325"/>
      <c r="FQ18" s="1325"/>
      <c r="FR18" s="1325"/>
      <c r="FS18" s="1325"/>
      <c r="FT18" s="1325"/>
      <c r="FU18" s="1325"/>
      <c r="FV18" s="1325"/>
      <c r="FW18" s="1325"/>
      <c r="FX18" s="1325"/>
      <c r="FY18" s="1325"/>
      <c r="FZ18" s="1325"/>
      <c r="GA18" s="1325"/>
      <c r="GB18" s="1325"/>
      <c r="GC18" s="1325"/>
      <c r="GD18" s="1325"/>
      <c r="GE18" s="1325"/>
      <c r="GF18" s="1325"/>
      <c r="GG18" s="1325"/>
      <c r="GH18" s="1325"/>
      <c r="GI18" s="1325"/>
      <c r="GJ18" s="1325"/>
      <c r="GK18" s="1325"/>
      <c r="GL18" s="1325"/>
      <c r="GM18" s="1325"/>
      <c r="GN18" s="1325"/>
      <c r="GO18" s="1325"/>
      <c r="GP18" s="1325"/>
      <c r="GQ18" s="1325"/>
      <c r="GR18" s="1325"/>
      <c r="GS18" s="1325"/>
      <c r="GT18" s="1325"/>
      <c r="GU18" s="1325"/>
      <c r="GV18" s="1325"/>
      <c r="GW18" s="1325"/>
      <c r="GX18" s="1325"/>
      <c r="GY18" s="1325"/>
      <c r="GZ18" s="1325"/>
      <c r="HA18" s="1325"/>
      <c r="HB18" s="1325"/>
      <c r="HC18" s="1325"/>
      <c r="HD18" s="1325"/>
      <c r="HE18" s="1325"/>
      <c r="HF18" s="1325"/>
      <c r="HG18" s="1325"/>
      <c r="HH18" s="1325"/>
      <c r="HI18" s="1325"/>
      <c r="HJ18" s="1325"/>
      <c r="HK18" s="1325"/>
      <c r="HL18" s="1325"/>
      <c r="HM18" s="1325"/>
      <c r="HN18" s="1325"/>
      <c r="HO18" s="1325"/>
      <c r="HP18" s="1325"/>
      <c r="HQ18" s="1325"/>
      <c r="HR18" s="1325"/>
      <c r="HS18" s="1325"/>
      <c r="HT18" s="1325"/>
      <c r="HU18" s="1325"/>
      <c r="HV18" s="1325"/>
      <c r="HW18" s="1325"/>
      <c r="HX18" s="1325"/>
      <c r="HY18" s="1325"/>
      <c r="HZ18" s="1325"/>
      <c r="IA18" s="1325"/>
      <c r="IB18" s="1325"/>
      <c r="IC18" s="1325"/>
      <c r="ID18" s="1325"/>
      <c r="IE18" s="1325"/>
      <c r="IF18" s="1325"/>
      <c r="IG18" s="1325"/>
      <c r="IH18" s="1325"/>
      <c r="II18" s="1325"/>
      <c r="IJ18" s="1325"/>
      <c r="IK18" s="1325"/>
      <c r="IL18" s="1325"/>
      <c r="IM18" s="1325"/>
      <c r="IN18" s="1325"/>
      <c r="IO18" s="1325"/>
      <c r="IP18" s="1325"/>
      <c r="IQ18" s="1325"/>
      <c r="IR18" s="1325"/>
      <c r="IS18" s="1325"/>
      <c r="IT18" s="1325"/>
      <c r="IU18" s="1325"/>
      <c r="IV18" s="1325"/>
    </row>
    <row r="19" spans="1:256" ht="31.5">
      <c r="A19" s="1365" t="s">
        <v>791</v>
      </c>
      <c r="B19" s="1366" t="s">
        <v>407</v>
      </c>
      <c r="C19" s="1367"/>
      <c r="D19" s="1367"/>
      <c r="E19" s="1325"/>
      <c r="F19" s="1325"/>
      <c r="G19" s="1325"/>
      <c r="H19" s="1325"/>
      <c r="I19" s="1325"/>
      <c r="J19" s="1325"/>
      <c r="K19" s="1325"/>
      <c r="L19" s="1325"/>
      <c r="M19" s="1325"/>
      <c r="N19" s="1325"/>
      <c r="O19" s="1325"/>
      <c r="P19" s="1325"/>
      <c r="Q19" s="1325"/>
      <c r="R19" s="1325"/>
      <c r="S19" s="1325"/>
      <c r="T19" s="1325"/>
      <c r="U19" s="1325"/>
      <c r="V19" s="1325"/>
      <c r="W19" s="1325"/>
      <c r="X19" s="1325"/>
      <c r="Y19" s="1325"/>
      <c r="Z19" s="1325"/>
      <c r="AA19" s="1325"/>
      <c r="AB19" s="1325"/>
      <c r="AC19" s="1325"/>
      <c r="AD19" s="1325"/>
      <c r="AE19" s="1325"/>
      <c r="AF19" s="1325"/>
      <c r="AG19" s="1325"/>
      <c r="AH19" s="1325"/>
      <c r="AI19" s="1325"/>
      <c r="AJ19" s="1325"/>
      <c r="AK19" s="1325"/>
      <c r="AL19" s="1325"/>
      <c r="AM19" s="1325"/>
      <c r="AN19" s="1325"/>
      <c r="AO19" s="1325"/>
      <c r="AP19" s="1325"/>
      <c r="AQ19" s="1325"/>
      <c r="AR19" s="1325"/>
      <c r="AS19" s="1325"/>
      <c r="AT19" s="1325"/>
      <c r="AU19" s="1325"/>
      <c r="AV19" s="1325"/>
      <c r="AW19" s="1325"/>
      <c r="AX19" s="1325"/>
      <c r="AY19" s="1325"/>
      <c r="AZ19" s="1325"/>
      <c r="BA19" s="1325"/>
      <c r="BB19" s="1325"/>
      <c r="BC19" s="1325"/>
      <c r="BD19" s="1325"/>
      <c r="BE19" s="1325"/>
      <c r="BF19" s="1325"/>
      <c r="BG19" s="1325"/>
      <c r="BH19" s="1325"/>
      <c r="BI19" s="1325"/>
      <c r="BJ19" s="1325"/>
      <c r="BK19" s="1325"/>
      <c r="BL19" s="1325"/>
      <c r="BM19" s="1325"/>
      <c r="BN19" s="1325"/>
      <c r="BO19" s="1325"/>
      <c r="BP19" s="1325"/>
      <c r="BQ19" s="1325"/>
      <c r="BR19" s="1325"/>
      <c r="BS19" s="1325"/>
      <c r="BT19" s="1325"/>
      <c r="BU19" s="1325"/>
      <c r="BV19" s="1325"/>
      <c r="BW19" s="1325"/>
      <c r="BX19" s="1325"/>
      <c r="BY19" s="1325"/>
      <c r="BZ19" s="1325"/>
      <c r="CA19" s="1325"/>
      <c r="CB19" s="1325"/>
      <c r="CC19" s="1325"/>
      <c r="CD19" s="1325"/>
      <c r="CE19" s="1325"/>
      <c r="CF19" s="1325"/>
      <c r="CG19" s="1325"/>
      <c r="CH19" s="1325"/>
      <c r="CI19" s="1325"/>
      <c r="CJ19" s="1325"/>
      <c r="CK19" s="1325"/>
      <c r="CL19" s="1325"/>
      <c r="CM19" s="1325"/>
      <c r="CN19" s="1325"/>
      <c r="CO19" s="1325"/>
      <c r="CP19" s="1325"/>
      <c r="CQ19" s="1325"/>
      <c r="CR19" s="1325"/>
      <c r="CS19" s="1325"/>
      <c r="CT19" s="1325"/>
      <c r="CU19" s="1325"/>
      <c r="CV19" s="1325"/>
      <c r="CW19" s="1325"/>
      <c r="CX19" s="1325"/>
      <c r="CY19" s="1325"/>
      <c r="CZ19" s="1325"/>
      <c r="DA19" s="1325"/>
      <c r="DB19" s="1325"/>
      <c r="DC19" s="1325"/>
      <c r="DD19" s="1325"/>
      <c r="DE19" s="1325"/>
      <c r="DF19" s="1325"/>
      <c r="DG19" s="1325"/>
      <c r="DH19" s="1325"/>
      <c r="DI19" s="1325"/>
      <c r="DJ19" s="1325"/>
      <c r="DK19" s="1325"/>
      <c r="DL19" s="1325"/>
      <c r="DM19" s="1325"/>
      <c r="DN19" s="1325"/>
      <c r="DO19" s="1325"/>
      <c r="DP19" s="1325"/>
      <c r="DQ19" s="1325"/>
      <c r="DR19" s="1325"/>
      <c r="DS19" s="1325"/>
      <c r="DT19" s="1325"/>
      <c r="DU19" s="1325"/>
      <c r="DV19" s="1325"/>
      <c r="DW19" s="1325"/>
      <c r="DX19" s="1325"/>
      <c r="DY19" s="1325"/>
      <c r="DZ19" s="1325"/>
      <c r="EA19" s="1325"/>
      <c r="EB19" s="1325"/>
      <c r="EC19" s="1325"/>
      <c r="ED19" s="1325"/>
      <c r="EE19" s="1325"/>
      <c r="EF19" s="1325"/>
      <c r="EG19" s="1325"/>
      <c r="EH19" s="1325"/>
      <c r="EI19" s="1325"/>
      <c r="EJ19" s="1325"/>
      <c r="EK19" s="1325"/>
      <c r="EL19" s="1325"/>
      <c r="EM19" s="1325"/>
      <c r="EN19" s="1325"/>
      <c r="EO19" s="1325"/>
      <c r="EP19" s="1325"/>
      <c r="EQ19" s="1325"/>
      <c r="ER19" s="1325"/>
      <c r="ES19" s="1325"/>
      <c r="ET19" s="1325"/>
      <c r="EU19" s="1325"/>
      <c r="EV19" s="1325"/>
      <c r="EW19" s="1325"/>
      <c r="EX19" s="1325"/>
      <c r="EY19" s="1325"/>
      <c r="EZ19" s="1325"/>
      <c r="FA19" s="1325"/>
      <c r="FB19" s="1325"/>
      <c r="FC19" s="1325"/>
      <c r="FD19" s="1325"/>
      <c r="FE19" s="1325"/>
      <c r="FF19" s="1325"/>
      <c r="FG19" s="1325"/>
      <c r="FH19" s="1325"/>
      <c r="FI19" s="1325"/>
      <c r="FJ19" s="1325"/>
      <c r="FK19" s="1325"/>
      <c r="FL19" s="1325"/>
      <c r="FM19" s="1325"/>
      <c r="FN19" s="1325"/>
      <c r="FO19" s="1325"/>
      <c r="FP19" s="1325"/>
      <c r="FQ19" s="1325"/>
      <c r="FR19" s="1325"/>
      <c r="FS19" s="1325"/>
      <c r="FT19" s="1325"/>
      <c r="FU19" s="1325"/>
      <c r="FV19" s="1325"/>
      <c r="FW19" s="1325"/>
      <c r="FX19" s="1325"/>
      <c r="FY19" s="1325"/>
      <c r="FZ19" s="1325"/>
      <c r="GA19" s="1325"/>
      <c r="GB19" s="1325"/>
      <c r="GC19" s="1325"/>
      <c r="GD19" s="1325"/>
      <c r="GE19" s="1325"/>
      <c r="GF19" s="1325"/>
      <c r="GG19" s="1325"/>
      <c r="GH19" s="1325"/>
      <c r="GI19" s="1325"/>
      <c r="GJ19" s="1325"/>
      <c r="GK19" s="1325"/>
      <c r="GL19" s="1325"/>
      <c r="GM19" s="1325"/>
      <c r="GN19" s="1325"/>
      <c r="GO19" s="1325"/>
      <c r="GP19" s="1325"/>
      <c r="GQ19" s="1325"/>
      <c r="GR19" s="1325"/>
      <c r="GS19" s="1325"/>
      <c r="GT19" s="1325"/>
      <c r="GU19" s="1325"/>
      <c r="GV19" s="1325"/>
      <c r="GW19" s="1325"/>
      <c r="GX19" s="1325"/>
      <c r="GY19" s="1325"/>
      <c r="GZ19" s="1325"/>
      <c r="HA19" s="1325"/>
      <c r="HB19" s="1325"/>
      <c r="HC19" s="1325"/>
      <c r="HD19" s="1325"/>
      <c r="HE19" s="1325"/>
      <c r="HF19" s="1325"/>
      <c r="HG19" s="1325"/>
      <c r="HH19" s="1325"/>
      <c r="HI19" s="1325"/>
      <c r="HJ19" s="1325"/>
      <c r="HK19" s="1325"/>
      <c r="HL19" s="1325"/>
      <c r="HM19" s="1325"/>
      <c r="HN19" s="1325"/>
      <c r="HO19" s="1325"/>
      <c r="HP19" s="1325"/>
      <c r="HQ19" s="1325"/>
      <c r="HR19" s="1325"/>
      <c r="HS19" s="1325"/>
      <c r="HT19" s="1325"/>
      <c r="HU19" s="1325"/>
      <c r="HV19" s="1325"/>
      <c r="HW19" s="1325"/>
      <c r="HX19" s="1325"/>
      <c r="HY19" s="1325"/>
      <c r="HZ19" s="1325"/>
      <c r="IA19" s="1325"/>
      <c r="IB19" s="1325"/>
      <c r="IC19" s="1325"/>
      <c r="ID19" s="1325"/>
      <c r="IE19" s="1325"/>
      <c r="IF19" s="1325"/>
      <c r="IG19" s="1325"/>
      <c r="IH19" s="1325"/>
      <c r="II19" s="1325"/>
      <c r="IJ19" s="1325"/>
      <c r="IK19" s="1325"/>
      <c r="IL19" s="1325"/>
      <c r="IM19" s="1325"/>
      <c r="IN19" s="1325"/>
      <c r="IO19" s="1325"/>
      <c r="IP19" s="1325"/>
      <c r="IQ19" s="1325"/>
      <c r="IR19" s="1325"/>
      <c r="IS19" s="1325"/>
      <c r="IT19" s="1325"/>
      <c r="IU19" s="1325"/>
      <c r="IV19" s="1325"/>
    </row>
    <row r="20" spans="1:256" ht="47.25">
      <c r="A20" s="1365" t="s">
        <v>792</v>
      </c>
      <c r="B20" s="1366" t="s">
        <v>409</v>
      </c>
      <c r="C20" s="1367"/>
      <c r="D20" s="1367"/>
      <c r="E20" s="1325"/>
      <c r="F20" s="1325"/>
      <c r="G20" s="1325"/>
      <c r="H20" s="1325"/>
      <c r="I20" s="1325"/>
      <c r="J20" s="1325"/>
      <c r="K20" s="1325"/>
      <c r="L20" s="1325"/>
      <c r="M20" s="1325"/>
      <c r="N20" s="1325"/>
      <c r="O20" s="1325"/>
      <c r="P20" s="1325"/>
      <c r="Q20" s="1325"/>
      <c r="R20" s="1325"/>
      <c r="S20" s="1325"/>
      <c r="T20" s="1325"/>
      <c r="U20" s="1325"/>
      <c r="V20" s="1325"/>
      <c r="W20" s="1325"/>
      <c r="X20" s="1325"/>
      <c r="Y20" s="1325"/>
      <c r="Z20" s="1325"/>
      <c r="AA20" s="1325"/>
      <c r="AB20" s="1325"/>
      <c r="AC20" s="1325"/>
      <c r="AD20" s="1325"/>
      <c r="AE20" s="1325"/>
      <c r="AF20" s="1325"/>
      <c r="AG20" s="1325"/>
      <c r="AH20" s="1325"/>
      <c r="AI20" s="1325"/>
      <c r="AJ20" s="1325"/>
      <c r="AK20" s="1325"/>
      <c r="AL20" s="1325"/>
      <c r="AM20" s="1325"/>
      <c r="AN20" s="1325"/>
      <c r="AO20" s="1325"/>
      <c r="AP20" s="1325"/>
      <c r="AQ20" s="1325"/>
      <c r="AR20" s="1325"/>
      <c r="AS20" s="1325"/>
      <c r="AT20" s="1325"/>
      <c r="AU20" s="1325"/>
      <c r="AV20" s="1325"/>
      <c r="AW20" s="1325"/>
      <c r="AX20" s="1325"/>
      <c r="AY20" s="1325"/>
      <c r="AZ20" s="1325"/>
      <c r="BA20" s="1325"/>
      <c r="BB20" s="1325"/>
      <c r="BC20" s="1325"/>
      <c r="BD20" s="1325"/>
      <c r="BE20" s="1325"/>
      <c r="BF20" s="1325"/>
      <c r="BG20" s="1325"/>
      <c r="BH20" s="1325"/>
      <c r="BI20" s="1325"/>
      <c r="BJ20" s="1325"/>
      <c r="BK20" s="1325"/>
      <c r="BL20" s="1325"/>
      <c r="BM20" s="1325"/>
      <c r="BN20" s="1325"/>
      <c r="BO20" s="1325"/>
      <c r="BP20" s="1325"/>
      <c r="BQ20" s="1325"/>
      <c r="BR20" s="1325"/>
      <c r="BS20" s="1325"/>
      <c r="BT20" s="1325"/>
      <c r="BU20" s="1325"/>
      <c r="BV20" s="1325"/>
      <c r="BW20" s="1325"/>
      <c r="BX20" s="1325"/>
      <c r="BY20" s="1325"/>
      <c r="BZ20" s="1325"/>
      <c r="CA20" s="1325"/>
      <c r="CB20" s="1325"/>
      <c r="CC20" s="1325"/>
      <c r="CD20" s="1325"/>
      <c r="CE20" s="1325"/>
      <c r="CF20" s="1325"/>
      <c r="CG20" s="1325"/>
      <c r="CH20" s="1325"/>
      <c r="CI20" s="1325"/>
      <c r="CJ20" s="1325"/>
      <c r="CK20" s="1325"/>
      <c r="CL20" s="1325"/>
      <c r="CM20" s="1325"/>
      <c r="CN20" s="1325"/>
      <c r="CO20" s="1325"/>
      <c r="CP20" s="1325"/>
      <c r="CQ20" s="1325"/>
      <c r="CR20" s="1325"/>
      <c r="CS20" s="1325"/>
      <c r="CT20" s="1325"/>
      <c r="CU20" s="1325"/>
      <c r="CV20" s="1325"/>
      <c r="CW20" s="1325"/>
      <c r="CX20" s="1325"/>
      <c r="CY20" s="1325"/>
      <c r="CZ20" s="1325"/>
      <c r="DA20" s="1325"/>
      <c r="DB20" s="1325"/>
      <c r="DC20" s="1325"/>
      <c r="DD20" s="1325"/>
      <c r="DE20" s="1325"/>
      <c r="DF20" s="1325"/>
      <c r="DG20" s="1325"/>
      <c r="DH20" s="1325"/>
      <c r="DI20" s="1325"/>
      <c r="DJ20" s="1325"/>
      <c r="DK20" s="1325"/>
      <c r="DL20" s="1325"/>
      <c r="DM20" s="1325"/>
      <c r="DN20" s="1325"/>
      <c r="DO20" s="1325"/>
      <c r="DP20" s="1325"/>
      <c r="DQ20" s="1325"/>
      <c r="DR20" s="1325"/>
      <c r="DS20" s="1325"/>
      <c r="DT20" s="1325"/>
      <c r="DU20" s="1325"/>
      <c r="DV20" s="1325"/>
      <c r="DW20" s="1325"/>
      <c r="DX20" s="1325"/>
      <c r="DY20" s="1325"/>
      <c r="DZ20" s="1325"/>
      <c r="EA20" s="1325"/>
      <c r="EB20" s="1325"/>
      <c r="EC20" s="1325"/>
      <c r="ED20" s="1325"/>
      <c r="EE20" s="1325"/>
      <c r="EF20" s="1325"/>
      <c r="EG20" s="1325"/>
      <c r="EH20" s="1325"/>
      <c r="EI20" s="1325"/>
      <c r="EJ20" s="1325"/>
      <c r="EK20" s="1325"/>
      <c r="EL20" s="1325"/>
      <c r="EM20" s="1325"/>
      <c r="EN20" s="1325"/>
      <c r="EO20" s="1325"/>
      <c r="EP20" s="1325"/>
      <c r="EQ20" s="1325"/>
      <c r="ER20" s="1325"/>
      <c r="ES20" s="1325"/>
      <c r="ET20" s="1325"/>
      <c r="EU20" s="1325"/>
      <c r="EV20" s="1325"/>
      <c r="EW20" s="1325"/>
      <c r="EX20" s="1325"/>
      <c r="EY20" s="1325"/>
      <c r="EZ20" s="1325"/>
      <c r="FA20" s="1325"/>
      <c r="FB20" s="1325"/>
      <c r="FC20" s="1325"/>
      <c r="FD20" s="1325"/>
      <c r="FE20" s="1325"/>
      <c r="FF20" s="1325"/>
      <c r="FG20" s="1325"/>
      <c r="FH20" s="1325"/>
      <c r="FI20" s="1325"/>
      <c r="FJ20" s="1325"/>
      <c r="FK20" s="1325"/>
      <c r="FL20" s="1325"/>
      <c r="FM20" s="1325"/>
      <c r="FN20" s="1325"/>
      <c r="FO20" s="1325"/>
      <c r="FP20" s="1325"/>
      <c r="FQ20" s="1325"/>
      <c r="FR20" s="1325"/>
      <c r="FS20" s="1325"/>
      <c r="FT20" s="1325"/>
      <c r="FU20" s="1325"/>
      <c r="FV20" s="1325"/>
      <c r="FW20" s="1325"/>
      <c r="FX20" s="1325"/>
      <c r="FY20" s="1325"/>
      <c r="FZ20" s="1325"/>
      <c r="GA20" s="1325"/>
      <c r="GB20" s="1325"/>
      <c r="GC20" s="1325"/>
      <c r="GD20" s="1325"/>
      <c r="GE20" s="1325"/>
      <c r="GF20" s="1325"/>
      <c r="GG20" s="1325"/>
      <c r="GH20" s="1325"/>
      <c r="GI20" s="1325"/>
      <c r="GJ20" s="1325"/>
      <c r="GK20" s="1325"/>
      <c r="GL20" s="1325"/>
      <c r="GM20" s="1325"/>
      <c r="GN20" s="1325"/>
      <c r="GO20" s="1325"/>
      <c r="GP20" s="1325"/>
      <c r="GQ20" s="1325"/>
      <c r="GR20" s="1325"/>
      <c r="GS20" s="1325"/>
      <c r="GT20" s="1325"/>
      <c r="GU20" s="1325"/>
      <c r="GV20" s="1325"/>
      <c r="GW20" s="1325"/>
      <c r="GX20" s="1325"/>
      <c r="GY20" s="1325"/>
      <c r="GZ20" s="1325"/>
      <c r="HA20" s="1325"/>
      <c r="HB20" s="1325"/>
      <c r="HC20" s="1325"/>
      <c r="HD20" s="1325"/>
      <c r="HE20" s="1325"/>
      <c r="HF20" s="1325"/>
      <c r="HG20" s="1325"/>
      <c r="HH20" s="1325"/>
      <c r="HI20" s="1325"/>
      <c r="HJ20" s="1325"/>
      <c r="HK20" s="1325"/>
      <c r="HL20" s="1325"/>
      <c r="HM20" s="1325"/>
      <c r="HN20" s="1325"/>
      <c r="HO20" s="1325"/>
      <c r="HP20" s="1325"/>
      <c r="HQ20" s="1325"/>
      <c r="HR20" s="1325"/>
      <c r="HS20" s="1325"/>
      <c r="HT20" s="1325"/>
      <c r="HU20" s="1325"/>
      <c r="HV20" s="1325"/>
      <c r="HW20" s="1325"/>
      <c r="HX20" s="1325"/>
      <c r="HY20" s="1325"/>
      <c r="HZ20" s="1325"/>
      <c r="IA20" s="1325"/>
      <c r="IB20" s="1325"/>
      <c r="IC20" s="1325"/>
      <c r="ID20" s="1325"/>
      <c r="IE20" s="1325"/>
      <c r="IF20" s="1325"/>
      <c r="IG20" s="1325"/>
      <c r="IH20" s="1325"/>
      <c r="II20" s="1325"/>
      <c r="IJ20" s="1325"/>
      <c r="IK20" s="1325"/>
      <c r="IL20" s="1325"/>
      <c r="IM20" s="1325"/>
      <c r="IN20" s="1325"/>
      <c r="IO20" s="1325"/>
      <c r="IP20" s="1325"/>
      <c r="IQ20" s="1325"/>
      <c r="IR20" s="1325"/>
      <c r="IS20" s="1325"/>
      <c r="IT20" s="1325"/>
      <c r="IU20" s="1325"/>
      <c r="IV20" s="1325"/>
    </row>
    <row r="21" spans="1:256" ht="31.5">
      <c r="A21" s="1365" t="s">
        <v>793</v>
      </c>
      <c r="B21" s="1366" t="s">
        <v>411</v>
      </c>
      <c r="C21" s="1367"/>
      <c r="D21" s="1367"/>
      <c r="E21" s="1325"/>
      <c r="F21" s="1325"/>
      <c r="G21" s="1325"/>
      <c r="H21" s="1325"/>
      <c r="I21" s="1325"/>
      <c r="J21" s="1325"/>
      <c r="K21" s="1325"/>
      <c r="L21" s="1325"/>
      <c r="M21" s="1325"/>
      <c r="N21" s="1325"/>
      <c r="O21" s="1325"/>
      <c r="P21" s="1325"/>
      <c r="Q21" s="1325"/>
      <c r="R21" s="1325"/>
      <c r="S21" s="1325"/>
      <c r="T21" s="1325"/>
      <c r="U21" s="1325"/>
      <c r="V21" s="1325"/>
      <c r="W21" s="1325"/>
      <c r="X21" s="1325"/>
      <c r="Y21" s="1325"/>
      <c r="Z21" s="1325"/>
      <c r="AA21" s="1325"/>
      <c r="AB21" s="1325"/>
      <c r="AC21" s="1325"/>
      <c r="AD21" s="1325"/>
      <c r="AE21" s="1325"/>
      <c r="AF21" s="1325"/>
      <c r="AG21" s="1325"/>
      <c r="AH21" s="1325"/>
      <c r="AI21" s="1325"/>
      <c r="AJ21" s="1325"/>
      <c r="AK21" s="1325"/>
      <c r="AL21" s="1325"/>
      <c r="AM21" s="1325"/>
      <c r="AN21" s="1325"/>
      <c r="AO21" s="1325"/>
      <c r="AP21" s="1325"/>
      <c r="AQ21" s="1325"/>
      <c r="AR21" s="1325"/>
      <c r="AS21" s="1325"/>
      <c r="AT21" s="1325"/>
      <c r="AU21" s="1325"/>
      <c r="AV21" s="1325"/>
      <c r="AW21" s="1325"/>
      <c r="AX21" s="1325"/>
      <c r="AY21" s="1325"/>
      <c r="AZ21" s="1325"/>
      <c r="BA21" s="1325"/>
      <c r="BB21" s="1325"/>
      <c r="BC21" s="1325"/>
      <c r="BD21" s="1325"/>
      <c r="BE21" s="1325"/>
      <c r="BF21" s="1325"/>
      <c r="BG21" s="1325"/>
      <c r="BH21" s="1325"/>
      <c r="BI21" s="1325"/>
      <c r="BJ21" s="1325"/>
      <c r="BK21" s="1325"/>
      <c r="BL21" s="1325"/>
      <c r="BM21" s="1325"/>
      <c r="BN21" s="1325"/>
      <c r="BO21" s="1325"/>
      <c r="BP21" s="1325"/>
      <c r="BQ21" s="1325"/>
      <c r="BR21" s="1325"/>
      <c r="BS21" s="1325"/>
      <c r="BT21" s="1325"/>
      <c r="BU21" s="1325"/>
      <c r="BV21" s="1325"/>
      <c r="BW21" s="1325"/>
      <c r="BX21" s="1325"/>
      <c r="BY21" s="1325"/>
      <c r="BZ21" s="1325"/>
      <c r="CA21" s="1325"/>
      <c r="CB21" s="1325"/>
      <c r="CC21" s="1325"/>
      <c r="CD21" s="1325"/>
      <c r="CE21" s="1325"/>
      <c r="CF21" s="1325"/>
      <c r="CG21" s="1325"/>
      <c r="CH21" s="1325"/>
      <c r="CI21" s="1325"/>
      <c r="CJ21" s="1325"/>
      <c r="CK21" s="1325"/>
      <c r="CL21" s="1325"/>
      <c r="CM21" s="1325"/>
      <c r="CN21" s="1325"/>
      <c r="CO21" s="1325"/>
      <c r="CP21" s="1325"/>
      <c r="CQ21" s="1325"/>
      <c r="CR21" s="1325"/>
      <c r="CS21" s="1325"/>
      <c r="CT21" s="1325"/>
      <c r="CU21" s="1325"/>
      <c r="CV21" s="1325"/>
      <c r="CW21" s="1325"/>
      <c r="CX21" s="1325"/>
      <c r="CY21" s="1325"/>
      <c r="CZ21" s="1325"/>
      <c r="DA21" s="1325"/>
      <c r="DB21" s="1325"/>
      <c r="DC21" s="1325"/>
      <c r="DD21" s="1325"/>
      <c r="DE21" s="1325"/>
      <c r="DF21" s="1325"/>
      <c r="DG21" s="1325"/>
      <c r="DH21" s="1325"/>
      <c r="DI21" s="1325"/>
      <c r="DJ21" s="1325"/>
      <c r="DK21" s="1325"/>
      <c r="DL21" s="1325"/>
      <c r="DM21" s="1325"/>
      <c r="DN21" s="1325"/>
      <c r="DO21" s="1325"/>
      <c r="DP21" s="1325"/>
      <c r="DQ21" s="1325"/>
      <c r="DR21" s="1325"/>
      <c r="DS21" s="1325"/>
      <c r="DT21" s="1325"/>
      <c r="DU21" s="1325"/>
      <c r="DV21" s="1325"/>
      <c r="DW21" s="1325"/>
      <c r="DX21" s="1325"/>
      <c r="DY21" s="1325"/>
      <c r="DZ21" s="1325"/>
      <c r="EA21" s="1325"/>
      <c r="EB21" s="1325"/>
      <c r="EC21" s="1325"/>
      <c r="ED21" s="1325"/>
      <c r="EE21" s="1325"/>
      <c r="EF21" s="1325"/>
      <c r="EG21" s="1325"/>
      <c r="EH21" s="1325"/>
      <c r="EI21" s="1325"/>
      <c r="EJ21" s="1325"/>
      <c r="EK21" s="1325"/>
      <c r="EL21" s="1325"/>
      <c r="EM21" s="1325"/>
      <c r="EN21" s="1325"/>
      <c r="EO21" s="1325"/>
      <c r="EP21" s="1325"/>
      <c r="EQ21" s="1325"/>
      <c r="ER21" s="1325"/>
      <c r="ES21" s="1325"/>
      <c r="ET21" s="1325"/>
      <c r="EU21" s="1325"/>
      <c r="EV21" s="1325"/>
      <c r="EW21" s="1325"/>
      <c r="EX21" s="1325"/>
      <c r="EY21" s="1325"/>
      <c r="EZ21" s="1325"/>
      <c r="FA21" s="1325"/>
      <c r="FB21" s="1325"/>
      <c r="FC21" s="1325"/>
      <c r="FD21" s="1325"/>
      <c r="FE21" s="1325"/>
      <c r="FF21" s="1325"/>
      <c r="FG21" s="1325"/>
      <c r="FH21" s="1325"/>
      <c r="FI21" s="1325"/>
      <c r="FJ21" s="1325"/>
      <c r="FK21" s="1325"/>
      <c r="FL21" s="1325"/>
      <c r="FM21" s="1325"/>
      <c r="FN21" s="1325"/>
      <c r="FO21" s="1325"/>
      <c r="FP21" s="1325"/>
      <c r="FQ21" s="1325"/>
      <c r="FR21" s="1325"/>
      <c r="FS21" s="1325"/>
      <c r="FT21" s="1325"/>
      <c r="FU21" s="1325"/>
      <c r="FV21" s="1325"/>
      <c r="FW21" s="1325"/>
      <c r="FX21" s="1325"/>
      <c r="FY21" s="1325"/>
      <c r="FZ21" s="1325"/>
      <c r="GA21" s="1325"/>
      <c r="GB21" s="1325"/>
      <c r="GC21" s="1325"/>
      <c r="GD21" s="1325"/>
      <c r="GE21" s="1325"/>
      <c r="GF21" s="1325"/>
      <c r="GG21" s="1325"/>
      <c r="GH21" s="1325"/>
      <c r="GI21" s="1325"/>
      <c r="GJ21" s="1325"/>
      <c r="GK21" s="1325"/>
      <c r="GL21" s="1325"/>
      <c r="GM21" s="1325"/>
      <c r="GN21" s="1325"/>
      <c r="GO21" s="1325"/>
      <c r="GP21" s="1325"/>
      <c r="GQ21" s="1325"/>
      <c r="GR21" s="1325"/>
      <c r="GS21" s="1325"/>
      <c r="GT21" s="1325"/>
      <c r="GU21" s="1325"/>
      <c r="GV21" s="1325"/>
      <c r="GW21" s="1325"/>
      <c r="GX21" s="1325"/>
      <c r="GY21" s="1325"/>
      <c r="GZ21" s="1325"/>
      <c r="HA21" s="1325"/>
      <c r="HB21" s="1325"/>
      <c r="HC21" s="1325"/>
      <c r="HD21" s="1325"/>
      <c r="HE21" s="1325"/>
      <c r="HF21" s="1325"/>
      <c r="HG21" s="1325"/>
      <c r="HH21" s="1325"/>
      <c r="HI21" s="1325"/>
      <c r="HJ21" s="1325"/>
      <c r="HK21" s="1325"/>
      <c r="HL21" s="1325"/>
      <c r="HM21" s="1325"/>
      <c r="HN21" s="1325"/>
      <c r="HO21" s="1325"/>
      <c r="HP21" s="1325"/>
      <c r="HQ21" s="1325"/>
      <c r="HR21" s="1325"/>
      <c r="HS21" s="1325"/>
      <c r="HT21" s="1325"/>
      <c r="HU21" s="1325"/>
      <c r="HV21" s="1325"/>
      <c r="HW21" s="1325"/>
      <c r="HX21" s="1325"/>
      <c r="HY21" s="1325"/>
      <c r="HZ21" s="1325"/>
      <c r="IA21" s="1325"/>
      <c r="IB21" s="1325"/>
      <c r="IC21" s="1325"/>
      <c r="ID21" s="1325"/>
      <c r="IE21" s="1325"/>
      <c r="IF21" s="1325"/>
      <c r="IG21" s="1325"/>
      <c r="IH21" s="1325"/>
      <c r="II21" s="1325"/>
      <c r="IJ21" s="1325"/>
      <c r="IK21" s="1325"/>
      <c r="IL21" s="1325"/>
      <c r="IM21" s="1325"/>
      <c r="IN21" s="1325"/>
      <c r="IO21" s="1325"/>
      <c r="IP21" s="1325"/>
      <c r="IQ21" s="1325"/>
      <c r="IR21" s="1325"/>
      <c r="IS21" s="1325"/>
      <c r="IT21" s="1325"/>
      <c r="IU21" s="1325"/>
      <c r="IV21" s="1325"/>
    </row>
    <row r="22" spans="1:256" ht="15.75">
      <c r="A22" s="1365" t="s">
        <v>794</v>
      </c>
      <c r="B22" s="1366" t="s">
        <v>557</v>
      </c>
      <c r="C22" s="1367">
        <v>11292942</v>
      </c>
      <c r="D22" s="1367">
        <v>482977</v>
      </c>
      <c r="E22" s="1325"/>
      <c r="F22" s="1325"/>
      <c r="G22" s="1325"/>
      <c r="H22" s="1325"/>
      <c r="I22" s="1325"/>
      <c r="J22" s="1325"/>
      <c r="K22" s="1325"/>
      <c r="L22" s="1325"/>
      <c r="M22" s="1325"/>
      <c r="N22" s="1325"/>
      <c r="O22" s="1325"/>
      <c r="P22" s="1325"/>
      <c r="Q22" s="1325"/>
      <c r="R22" s="1325"/>
      <c r="S22" s="1325"/>
      <c r="T22" s="1325"/>
      <c r="U22" s="1325"/>
      <c r="V22" s="1325"/>
      <c r="W22" s="1325"/>
      <c r="X22" s="1325"/>
      <c r="Y22" s="1325"/>
      <c r="Z22" s="1325"/>
      <c r="AA22" s="1325"/>
      <c r="AB22" s="1325"/>
      <c r="AC22" s="1325"/>
      <c r="AD22" s="1325"/>
      <c r="AE22" s="1325"/>
      <c r="AF22" s="1325"/>
      <c r="AG22" s="1325"/>
      <c r="AH22" s="1325"/>
      <c r="AI22" s="1325"/>
      <c r="AJ22" s="1325"/>
      <c r="AK22" s="1325"/>
      <c r="AL22" s="1325"/>
      <c r="AM22" s="1325"/>
      <c r="AN22" s="1325"/>
      <c r="AO22" s="1325"/>
      <c r="AP22" s="1325"/>
      <c r="AQ22" s="1325"/>
      <c r="AR22" s="1325"/>
      <c r="AS22" s="1325"/>
      <c r="AT22" s="1325"/>
      <c r="AU22" s="1325"/>
      <c r="AV22" s="1325"/>
      <c r="AW22" s="1325"/>
      <c r="AX22" s="1325"/>
      <c r="AY22" s="1325"/>
      <c r="AZ22" s="1325"/>
      <c r="BA22" s="1325"/>
      <c r="BB22" s="1325"/>
      <c r="BC22" s="1325"/>
      <c r="BD22" s="1325"/>
      <c r="BE22" s="1325"/>
      <c r="BF22" s="1325"/>
      <c r="BG22" s="1325"/>
      <c r="BH22" s="1325"/>
      <c r="BI22" s="1325"/>
      <c r="BJ22" s="1325"/>
      <c r="BK22" s="1325"/>
      <c r="BL22" s="1325"/>
      <c r="BM22" s="1325"/>
      <c r="BN22" s="1325"/>
      <c r="BO22" s="1325"/>
      <c r="BP22" s="1325"/>
      <c r="BQ22" s="1325"/>
      <c r="BR22" s="1325"/>
      <c r="BS22" s="1325"/>
      <c r="BT22" s="1325"/>
      <c r="BU22" s="1325"/>
      <c r="BV22" s="1325"/>
      <c r="BW22" s="1325"/>
      <c r="BX22" s="1325"/>
      <c r="BY22" s="1325"/>
      <c r="BZ22" s="1325"/>
      <c r="CA22" s="1325"/>
      <c r="CB22" s="1325"/>
      <c r="CC22" s="1325"/>
      <c r="CD22" s="1325"/>
      <c r="CE22" s="1325"/>
      <c r="CF22" s="1325"/>
      <c r="CG22" s="1325"/>
      <c r="CH22" s="1325"/>
      <c r="CI22" s="1325"/>
      <c r="CJ22" s="1325"/>
      <c r="CK22" s="1325"/>
      <c r="CL22" s="1325"/>
      <c r="CM22" s="1325"/>
      <c r="CN22" s="1325"/>
      <c r="CO22" s="1325"/>
      <c r="CP22" s="1325"/>
      <c r="CQ22" s="1325"/>
      <c r="CR22" s="1325"/>
      <c r="CS22" s="1325"/>
      <c r="CT22" s="1325"/>
      <c r="CU22" s="1325"/>
      <c r="CV22" s="1325"/>
      <c r="CW22" s="1325"/>
      <c r="CX22" s="1325"/>
      <c r="CY22" s="1325"/>
      <c r="CZ22" s="1325"/>
      <c r="DA22" s="1325"/>
      <c r="DB22" s="1325"/>
      <c r="DC22" s="1325"/>
      <c r="DD22" s="1325"/>
      <c r="DE22" s="1325"/>
      <c r="DF22" s="1325"/>
      <c r="DG22" s="1325"/>
      <c r="DH22" s="1325"/>
      <c r="DI22" s="1325"/>
      <c r="DJ22" s="1325"/>
      <c r="DK22" s="1325"/>
      <c r="DL22" s="1325"/>
      <c r="DM22" s="1325"/>
      <c r="DN22" s="1325"/>
      <c r="DO22" s="1325"/>
      <c r="DP22" s="1325"/>
      <c r="DQ22" s="1325"/>
      <c r="DR22" s="1325"/>
      <c r="DS22" s="1325"/>
      <c r="DT22" s="1325"/>
      <c r="DU22" s="1325"/>
      <c r="DV22" s="1325"/>
      <c r="DW22" s="1325"/>
      <c r="DX22" s="1325"/>
      <c r="DY22" s="1325"/>
      <c r="DZ22" s="1325"/>
      <c r="EA22" s="1325"/>
      <c r="EB22" s="1325"/>
      <c r="EC22" s="1325"/>
      <c r="ED22" s="1325"/>
      <c r="EE22" s="1325"/>
      <c r="EF22" s="1325"/>
      <c r="EG22" s="1325"/>
      <c r="EH22" s="1325"/>
      <c r="EI22" s="1325"/>
      <c r="EJ22" s="1325"/>
      <c r="EK22" s="1325"/>
      <c r="EL22" s="1325"/>
      <c r="EM22" s="1325"/>
      <c r="EN22" s="1325"/>
      <c r="EO22" s="1325"/>
      <c r="EP22" s="1325"/>
      <c r="EQ22" s="1325"/>
      <c r="ER22" s="1325"/>
      <c r="ES22" s="1325"/>
      <c r="ET22" s="1325"/>
      <c r="EU22" s="1325"/>
      <c r="EV22" s="1325"/>
      <c r="EW22" s="1325"/>
      <c r="EX22" s="1325"/>
      <c r="EY22" s="1325"/>
      <c r="EZ22" s="1325"/>
      <c r="FA22" s="1325"/>
      <c r="FB22" s="1325"/>
      <c r="FC22" s="1325"/>
      <c r="FD22" s="1325"/>
      <c r="FE22" s="1325"/>
      <c r="FF22" s="1325"/>
      <c r="FG22" s="1325"/>
      <c r="FH22" s="1325"/>
      <c r="FI22" s="1325"/>
      <c r="FJ22" s="1325"/>
      <c r="FK22" s="1325"/>
      <c r="FL22" s="1325"/>
      <c r="FM22" s="1325"/>
      <c r="FN22" s="1325"/>
      <c r="FO22" s="1325"/>
      <c r="FP22" s="1325"/>
      <c r="FQ22" s="1325"/>
      <c r="FR22" s="1325"/>
      <c r="FS22" s="1325"/>
      <c r="FT22" s="1325"/>
      <c r="FU22" s="1325"/>
      <c r="FV22" s="1325"/>
      <c r="FW22" s="1325"/>
      <c r="FX22" s="1325"/>
      <c r="FY22" s="1325"/>
      <c r="FZ22" s="1325"/>
      <c r="GA22" s="1325"/>
      <c r="GB22" s="1325"/>
      <c r="GC22" s="1325"/>
      <c r="GD22" s="1325"/>
      <c r="GE22" s="1325"/>
      <c r="GF22" s="1325"/>
      <c r="GG22" s="1325"/>
      <c r="GH22" s="1325"/>
      <c r="GI22" s="1325"/>
      <c r="GJ22" s="1325"/>
      <c r="GK22" s="1325"/>
      <c r="GL22" s="1325"/>
      <c r="GM22" s="1325"/>
      <c r="GN22" s="1325"/>
      <c r="GO22" s="1325"/>
      <c r="GP22" s="1325"/>
      <c r="GQ22" s="1325"/>
      <c r="GR22" s="1325"/>
      <c r="GS22" s="1325"/>
      <c r="GT22" s="1325"/>
      <c r="GU22" s="1325"/>
      <c r="GV22" s="1325"/>
      <c r="GW22" s="1325"/>
      <c r="GX22" s="1325"/>
      <c r="GY22" s="1325"/>
      <c r="GZ22" s="1325"/>
      <c r="HA22" s="1325"/>
      <c r="HB22" s="1325"/>
      <c r="HC22" s="1325"/>
      <c r="HD22" s="1325"/>
      <c r="HE22" s="1325"/>
      <c r="HF22" s="1325"/>
      <c r="HG22" s="1325"/>
      <c r="HH22" s="1325"/>
      <c r="HI22" s="1325"/>
      <c r="HJ22" s="1325"/>
      <c r="HK22" s="1325"/>
      <c r="HL22" s="1325"/>
      <c r="HM22" s="1325"/>
      <c r="HN22" s="1325"/>
      <c r="HO22" s="1325"/>
      <c r="HP22" s="1325"/>
      <c r="HQ22" s="1325"/>
      <c r="HR22" s="1325"/>
      <c r="HS22" s="1325"/>
      <c r="HT22" s="1325"/>
      <c r="HU22" s="1325"/>
      <c r="HV22" s="1325"/>
      <c r="HW22" s="1325"/>
      <c r="HX22" s="1325"/>
      <c r="HY22" s="1325"/>
      <c r="HZ22" s="1325"/>
      <c r="IA22" s="1325"/>
      <c r="IB22" s="1325"/>
      <c r="IC22" s="1325"/>
      <c r="ID22" s="1325"/>
      <c r="IE22" s="1325"/>
      <c r="IF22" s="1325"/>
      <c r="IG22" s="1325"/>
      <c r="IH22" s="1325"/>
      <c r="II22" s="1325"/>
      <c r="IJ22" s="1325"/>
      <c r="IK22" s="1325"/>
      <c r="IL22" s="1325"/>
      <c r="IM22" s="1325"/>
      <c r="IN22" s="1325"/>
      <c r="IO22" s="1325"/>
      <c r="IP22" s="1325"/>
      <c r="IQ22" s="1325"/>
      <c r="IR22" s="1325"/>
      <c r="IS22" s="1325"/>
      <c r="IT22" s="1325"/>
      <c r="IU22" s="1325"/>
      <c r="IV22" s="1325"/>
    </row>
    <row r="23" spans="1:256" ht="15.75">
      <c r="A23" s="1368" t="s">
        <v>795</v>
      </c>
      <c r="B23" s="1369" t="s">
        <v>558</v>
      </c>
      <c r="C23" s="1372"/>
      <c r="D23" s="1372"/>
      <c r="E23" s="1325"/>
      <c r="F23" s="1325"/>
      <c r="G23" s="1325"/>
      <c r="H23" s="1325"/>
      <c r="I23" s="1325"/>
      <c r="J23" s="1325"/>
      <c r="K23" s="1325"/>
      <c r="L23" s="1325"/>
      <c r="M23" s="1325"/>
      <c r="N23" s="1325"/>
      <c r="O23" s="1325"/>
      <c r="P23" s="1325"/>
      <c r="Q23" s="1325"/>
      <c r="R23" s="1325"/>
      <c r="S23" s="1325"/>
      <c r="T23" s="1325"/>
      <c r="U23" s="1325"/>
      <c r="V23" s="1325"/>
      <c r="W23" s="1325"/>
      <c r="X23" s="1325"/>
      <c r="Y23" s="1325"/>
      <c r="Z23" s="1325"/>
      <c r="AA23" s="1325"/>
      <c r="AB23" s="1325"/>
      <c r="AC23" s="1325"/>
      <c r="AD23" s="1325"/>
      <c r="AE23" s="1325"/>
      <c r="AF23" s="1325"/>
      <c r="AG23" s="1325"/>
      <c r="AH23" s="1325"/>
      <c r="AI23" s="1325"/>
      <c r="AJ23" s="1325"/>
      <c r="AK23" s="1325"/>
      <c r="AL23" s="1325"/>
      <c r="AM23" s="1325"/>
      <c r="AN23" s="1325"/>
      <c r="AO23" s="1325"/>
      <c r="AP23" s="1325"/>
      <c r="AQ23" s="1325"/>
      <c r="AR23" s="1325"/>
      <c r="AS23" s="1325"/>
      <c r="AT23" s="1325"/>
      <c r="AU23" s="1325"/>
      <c r="AV23" s="1325"/>
      <c r="AW23" s="1325"/>
      <c r="AX23" s="1325"/>
      <c r="AY23" s="1325"/>
      <c r="AZ23" s="1325"/>
      <c r="BA23" s="1325"/>
      <c r="BB23" s="1325"/>
      <c r="BC23" s="1325"/>
      <c r="BD23" s="1325"/>
      <c r="BE23" s="1325"/>
      <c r="BF23" s="1325"/>
      <c r="BG23" s="1325"/>
      <c r="BH23" s="1325"/>
      <c r="BI23" s="1325"/>
      <c r="BJ23" s="1325"/>
      <c r="BK23" s="1325"/>
      <c r="BL23" s="1325"/>
      <c r="BM23" s="1325"/>
      <c r="BN23" s="1325"/>
      <c r="BO23" s="1325"/>
      <c r="BP23" s="1325"/>
      <c r="BQ23" s="1325"/>
      <c r="BR23" s="1325"/>
      <c r="BS23" s="1325"/>
      <c r="BT23" s="1325"/>
      <c r="BU23" s="1325"/>
      <c r="BV23" s="1325"/>
      <c r="BW23" s="1325"/>
      <c r="BX23" s="1325"/>
      <c r="BY23" s="1325"/>
      <c r="BZ23" s="1325"/>
      <c r="CA23" s="1325"/>
      <c r="CB23" s="1325"/>
      <c r="CC23" s="1325"/>
      <c r="CD23" s="1325"/>
      <c r="CE23" s="1325"/>
      <c r="CF23" s="1325"/>
      <c r="CG23" s="1325"/>
      <c r="CH23" s="1325"/>
      <c r="CI23" s="1325"/>
      <c r="CJ23" s="1325"/>
      <c r="CK23" s="1325"/>
      <c r="CL23" s="1325"/>
      <c r="CM23" s="1325"/>
      <c r="CN23" s="1325"/>
      <c r="CO23" s="1325"/>
      <c r="CP23" s="1325"/>
      <c r="CQ23" s="1325"/>
      <c r="CR23" s="1325"/>
      <c r="CS23" s="1325"/>
      <c r="CT23" s="1325"/>
      <c r="CU23" s="1325"/>
      <c r="CV23" s="1325"/>
      <c r="CW23" s="1325"/>
      <c r="CX23" s="1325"/>
      <c r="CY23" s="1325"/>
      <c r="CZ23" s="1325"/>
      <c r="DA23" s="1325"/>
      <c r="DB23" s="1325"/>
      <c r="DC23" s="1325"/>
      <c r="DD23" s="1325"/>
      <c r="DE23" s="1325"/>
      <c r="DF23" s="1325"/>
      <c r="DG23" s="1325"/>
      <c r="DH23" s="1325"/>
      <c r="DI23" s="1325"/>
      <c r="DJ23" s="1325"/>
      <c r="DK23" s="1325"/>
      <c r="DL23" s="1325"/>
      <c r="DM23" s="1325"/>
      <c r="DN23" s="1325"/>
      <c r="DO23" s="1325"/>
      <c r="DP23" s="1325"/>
      <c r="DQ23" s="1325"/>
      <c r="DR23" s="1325"/>
      <c r="DS23" s="1325"/>
      <c r="DT23" s="1325"/>
      <c r="DU23" s="1325"/>
      <c r="DV23" s="1325"/>
      <c r="DW23" s="1325"/>
      <c r="DX23" s="1325"/>
      <c r="DY23" s="1325"/>
      <c r="DZ23" s="1325"/>
      <c r="EA23" s="1325"/>
      <c r="EB23" s="1325"/>
      <c r="EC23" s="1325"/>
      <c r="ED23" s="1325"/>
      <c r="EE23" s="1325"/>
      <c r="EF23" s="1325"/>
      <c r="EG23" s="1325"/>
      <c r="EH23" s="1325"/>
      <c r="EI23" s="1325"/>
      <c r="EJ23" s="1325"/>
      <c r="EK23" s="1325"/>
      <c r="EL23" s="1325"/>
      <c r="EM23" s="1325"/>
      <c r="EN23" s="1325"/>
      <c r="EO23" s="1325"/>
      <c r="EP23" s="1325"/>
      <c r="EQ23" s="1325"/>
      <c r="ER23" s="1325"/>
      <c r="ES23" s="1325"/>
      <c r="ET23" s="1325"/>
      <c r="EU23" s="1325"/>
      <c r="EV23" s="1325"/>
      <c r="EW23" s="1325"/>
      <c r="EX23" s="1325"/>
      <c r="EY23" s="1325"/>
      <c r="EZ23" s="1325"/>
      <c r="FA23" s="1325"/>
      <c r="FB23" s="1325"/>
      <c r="FC23" s="1325"/>
      <c r="FD23" s="1325"/>
      <c r="FE23" s="1325"/>
      <c r="FF23" s="1325"/>
      <c r="FG23" s="1325"/>
      <c r="FH23" s="1325"/>
      <c r="FI23" s="1325"/>
      <c r="FJ23" s="1325"/>
      <c r="FK23" s="1325"/>
      <c r="FL23" s="1325"/>
      <c r="FM23" s="1325"/>
      <c r="FN23" s="1325"/>
      <c r="FO23" s="1325"/>
      <c r="FP23" s="1325"/>
      <c r="FQ23" s="1325"/>
      <c r="FR23" s="1325"/>
      <c r="FS23" s="1325"/>
      <c r="FT23" s="1325"/>
      <c r="FU23" s="1325"/>
      <c r="FV23" s="1325"/>
      <c r="FW23" s="1325"/>
      <c r="FX23" s="1325"/>
      <c r="FY23" s="1325"/>
      <c r="FZ23" s="1325"/>
      <c r="GA23" s="1325"/>
      <c r="GB23" s="1325"/>
      <c r="GC23" s="1325"/>
      <c r="GD23" s="1325"/>
      <c r="GE23" s="1325"/>
      <c r="GF23" s="1325"/>
      <c r="GG23" s="1325"/>
      <c r="GH23" s="1325"/>
      <c r="GI23" s="1325"/>
      <c r="GJ23" s="1325"/>
      <c r="GK23" s="1325"/>
      <c r="GL23" s="1325"/>
      <c r="GM23" s="1325"/>
      <c r="GN23" s="1325"/>
      <c r="GO23" s="1325"/>
      <c r="GP23" s="1325"/>
      <c r="GQ23" s="1325"/>
      <c r="GR23" s="1325"/>
      <c r="GS23" s="1325"/>
      <c r="GT23" s="1325"/>
      <c r="GU23" s="1325"/>
      <c r="GV23" s="1325"/>
      <c r="GW23" s="1325"/>
      <c r="GX23" s="1325"/>
      <c r="GY23" s="1325"/>
      <c r="GZ23" s="1325"/>
      <c r="HA23" s="1325"/>
      <c r="HB23" s="1325"/>
      <c r="HC23" s="1325"/>
      <c r="HD23" s="1325"/>
      <c r="HE23" s="1325"/>
      <c r="HF23" s="1325"/>
      <c r="HG23" s="1325"/>
      <c r="HH23" s="1325"/>
      <c r="HI23" s="1325"/>
      <c r="HJ23" s="1325"/>
      <c r="HK23" s="1325"/>
      <c r="HL23" s="1325"/>
      <c r="HM23" s="1325"/>
      <c r="HN23" s="1325"/>
      <c r="HO23" s="1325"/>
      <c r="HP23" s="1325"/>
      <c r="HQ23" s="1325"/>
      <c r="HR23" s="1325"/>
      <c r="HS23" s="1325"/>
      <c r="HT23" s="1325"/>
      <c r="HU23" s="1325"/>
      <c r="HV23" s="1325"/>
      <c r="HW23" s="1325"/>
      <c r="HX23" s="1325"/>
      <c r="HY23" s="1325"/>
      <c r="HZ23" s="1325"/>
      <c r="IA23" s="1325"/>
      <c r="IB23" s="1325"/>
      <c r="IC23" s="1325"/>
      <c r="ID23" s="1325"/>
      <c r="IE23" s="1325"/>
      <c r="IF23" s="1325"/>
      <c r="IG23" s="1325"/>
      <c r="IH23" s="1325"/>
      <c r="II23" s="1325"/>
      <c r="IJ23" s="1325"/>
      <c r="IK23" s="1325"/>
      <c r="IL23" s="1325"/>
      <c r="IM23" s="1325"/>
      <c r="IN23" s="1325"/>
      <c r="IO23" s="1325"/>
      <c r="IP23" s="1325"/>
      <c r="IQ23" s="1325"/>
      <c r="IR23" s="1325"/>
      <c r="IS23" s="1325"/>
      <c r="IT23" s="1325"/>
      <c r="IU23" s="1325"/>
      <c r="IV23" s="1325"/>
    </row>
    <row r="24" spans="1:256" ht="15.75">
      <c r="A24" s="1365" t="s">
        <v>796</v>
      </c>
      <c r="B24" s="1366" t="s">
        <v>676</v>
      </c>
      <c r="C24" s="1367"/>
      <c r="D24" s="1367"/>
      <c r="E24" s="1325"/>
      <c r="F24" s="1325"/>
      <c r="G24" s="1325"/>
      <c r="H24" s="1325"/>
      <c r="I24" s="1325"/>
      <c r="J24" s="1325"/>
      <c r="K24" s="1325"/>
      <c r="L24" s="1325"/>
      <c r="M24" s="1325"/>
      <c r="N24" s="1325"/>
      <c r="O24" s="1325"/>
      <c r="P24" s="1325"/>
      <c r="Q24" s="1325"/>
      <c r="R24" s="1325"/>
      <c r="S24" s="1325"/>
      <c r="T24" s="1325"/>
      <c r="U24" s="1325"/>
      <c r="V24" s="1325"/>
      <c r="W24" s="1325"/>
      <c r="X24" s="1325"/>
      <c r="Y24" s="1325"/>
      <c r="Z24" s="1325"/>
      <c r="AA24" s="1325"/>
      <c r="AB24" s="1325"/>
      <c r="AC24" s="1325"/>
      <c r="AD24" s="1325"/>
      <c r="AE24" s="1325"/>
      <c r="AF24" s="1325"/>
      <c r="AG24" s="1325"/>
      <c r="AH24" s="1325"/>
      <c r="AI24" s="1325"/>
      <c r="AJ24" s="1325"/>
      <c r="AK24" s="1325"/>
      <c r="AL24" s="1325"/>
      <c r="AM24" s="1325"/>
      <c r="AN24" s="1325"/>
      <c r="AO24" s="1325"/>
      <c r="AP24" s="1325"/>
      <c r="AQ24" s="1325"/>
      <c r="AR24" s="1325"/>
      <c r="AS24" s="1325"/>
      <c r="AT24" s="1325"/>
      <c r="AU24" s="1325"/>
      <c r="AV24" s="1325"/>
      <c r="AW24" s="1325"/>
      <c r="AX24" s="1325"/>
      <c r="AY24" s="1325"/>
      <c r="AZ24" s="1325"/>
      <c r="BA24" s="1325"/>
      <c r="BB24" s="1325"/>
      <c r="BC24" s="1325"/>
      <c r="BD24" s="1325"/>
      <c r="BE24" s="1325"/>
      <c r="BF24" s="1325"/>
      <c r="BG24" s="1325"/>
      <c r="BH24" s="1325"/>
      <c r="BI24" s="1325"/>
      <c r="BJ24" s="1325"/>
      <c r="BK24" s="1325"/>
      <c r="BL24" s="1325"/>
      <c r="BM24" s="1325"/>
      <c r="BN24" s="1325"/>
      <c r="BO24" s="1325"/>
      <c r="BP24" s="1325"/>
      <c r="BQ24" s="1325"/>
      <c r="BR24" s="1325"/>
      <c r="BS24" s="1325"/>
      <c r="BT24" s="1325"/>
      <c r="BU24" s="1325"/>
      <c r="BV24" s="1325"/>
      <c r="BW24" s="1325"/>
      <c r="BX24" s="1325"/>
      <c r="BY24" s="1325"/>
      <c r="BZ24" s="1325"/>
      <c r="CA24" s="1325"/>
      <c r="CB24" s="1325"/>
      <c r="CC24" s="1325"/>
      <c r="CD24" s="1325"/>
      <c r="CE24" s="1325"/>
      <c r="CF24" s="1325"/>
      <c r="CG24" s="1325"/>
      <c r="CH24" s="1325"/>
      <c r="CI24" s="1325"/>
      <c r="CJ24" s="1325"/>
      <c r="CK24" s="1325"/>
      <c r="CL24" s="1325"/>
      <c r="CM24" s="1325"/>
      <c r="CN24" s="1325"/>
      <c r="CO24" s="1325"/>
      <c r="CP24" s="1325"/>
      <c r="CQ24" s="1325"/>
      <c r="CR24" s="1325"/>
      <c r="CS24" s="1325"/>
      <c r="CT24" s="1325"/>
      <c r="CU24" s="1325"/>
      <c r="CV24" s="1325"/>
      <c r="CW24" s="1325"/>
      <c r="CX24" s="1325"/>
      <c r="CY24" s="1325"/>
      <c r="CZ24" s="1325"/>
      <c r="DA24" s="1325"/>
      <c r="DB24" s="1325"/>
      <c r="DC24" s="1325"/>
      <c r="DD24" s="1325"/>
      <c r="DE24" s="1325"/>
      <c r="DF24" s="1325"/>
      <c r="DG24" s="1325"/>
      <c r="DH24" s="1325"/>
      <c r="DI24" s="1325"/>
      <c r="DJ24" s="1325"/>
      <c r="DK24" s="1325"/>
      <c r="DL24" s="1325"/>
      <c r="DM24" s="1325"/>
      <c r="DN24" s="1325"/>
      <c r="DO24" s="1325"/>
      <c r="DP24" s="1325"/>
      <c r="DQ24" s="1325"/>
      <c r="DR24" s="1325"/>
      <c r="DS24" s="1325"/>
      <c r="DT24" s="1325"/>
      <c r="DU24" s="1325"/>
      <c r="DV24" s="1325"/>
      <c r="DW24" s="1325"/>
      <c r="DX24" s="1325"/>
      <c r="DY24" s="1325"/>
      <c r="DZ24" s="1325"/>
      <c r="EA24" s="1325"/>
      <c r="EB24" s="1325"/>
      <c r="EC24" s="1325"/>
      <c r="ED24" s="1325"/>
      <c r="EE24" s="1325"/>
      <c r="EF24" s="1325"/>
      <c r="EG24" s="1325"/>
      <c r="EH24" s="1325"/>
      <c r="EI24" s="1325"/>
      <c r="EJ24" s="1325"/>
      <c r="EK24" s="1325"/>
      <c r="EL24" s="1325"/>
      <c r="EM24" s="1325"/>
      <c r="EN24" s="1325"/>
      <c r="EO24" s="1325"/>
      <c r="EP24" s="1325"/>
      <c r="EQ24" s="1325"/>
      <c r="ER24" s="1325"/>
      <c r="ES24" s="1325"/>
      <c r="ET24" s="1325"/>
      <c r="EU24" s="1325"/>
      <c r="EV24" s="1325"/>
      <c r="EW24" s="1325"/>
      <c r="EX24" s="1325"/>
      <c r="EY24" s="1325"/>
      <c r="EZ24" s="1325"/>
      <c r="FA24" s="1325"/>
      <c r="FB24" s="1325"/>
      <c r="FC24" s="1325"/>
      <c r="FD24" s="1325"/>
      <c r="FE24" s="1325"/>
      <c r="FF24" s="1325"/>
      <c r="FG24" s="1325"/>
      <c r="FH24" s="1325"/>
      <c r="FI24" s="1325"/>
      <c r="FJ24" s="1325"/>
      <c r="FK24" s="1325"/>
      <c r="FL24" s="1325"/>
      <c r="FM24" s="1325"/>
      <c r="FN24" s="1325"/>
      <c r="FO24" s="1325"/>
      <c r="FP24" s="1325"/>
      <c r="FQ24" s="1325"/>
      <c r="FR24" s="1325"/>
      <c r="FS24" s="1325"/>
      <c r="FT24" s="1325"/>
      <c r="FU24" s="1325"/>
      <c r="FV24" s="1325"/>
      <c r="FW24" s="1325"/>
      <c r="FX24" s="1325"/>
      <c r="FY24" s="1325"/>
      <c r="FZ24" s="1325"/>
      <c r="GA24" s="1325"/>
      <c r="GB24" s="1325"/>
      <c r="GC24" s="1325"/>
      <c r="GD24" s="1325"/>
      <c r="GE24" s="1325"/>
      <c r="GF24" s="1325"/>
      <c r="GG24" s="1325"/>
      <c r="GH24" s="1325"/>
      <c r="GI24" s="1325"/>
      <c r="GJ24" s="1325"/>
      <c r="GK24" s="1325"/>
      <c r="GL24" s="1325"/>
      <c r="GM24" s="1325"/>
      <c r="GN24" s="1325"/>
      <c r="GO24" s="1325"/>
      <c r="GP24" s="1325"/>
      <c r="GQ24" s="1325"/>
      <c r="GR24" s="1325"/>
      <c r="GS24" s="1325"/>
      <c r="GT24" s="1325"/>
      <c r="GU24" s="1325"/>
      <c r="GV24" s="1325"/>
      <c r="GW24" s="1325"/>
      <c r="GX24" s="1325"/>
      <c r="GY24" s="1325"/>
      <c r="GZ24" s="1325"/>
      <c r="HA24" s="1325"/>
      <c r="HB24" s="1325"/>
      <c r="HC24" s="1325"/>
      <c r="HD24" s="1325"/>
      <c r="HE24" s="1325"/>
      <c r="HF24" s="1325"/>
      <c r="HG24" s="1325"/>
      <c r="HH24" s="1325"/>
      <c r="HI24" s="1325"/>
      <c r="HJ24" s="1325"/>
      <c r="HK24" s="1325"/>
      <c r="HL24" s="1325"/>
      <c r="HM24" s="1325"/>
      <c r="HN24" s="1325"/>
      <c r="HO24" s="1325"/>
      <c r="HP24" s="1325"/>
      <c r="HQ24" s="1325"/>
      <c r="HR24" s="1325"/>
      <c r="HS24" s="1325"/>
      <c r="HT24" s="1325"/>
      <c r="HU24" s="1325"/>
      <c r="HV24" s="1325"/>
      <c r="HW24" s="1325"/>
      <c r="HX24" s="1325"/>
      <c r="HY24" s="1325"/>
      <c r="HZ24" s="1325"/>
      <c r="IA24" s="1325"/>
      <c r="IB24" s="1325"/>
      <c r="IC24" s="1325"/>
      <c r="ID24" s="1325"/>
      <c r="IE24" s="1325"/>
      <c r="IF24" s="1325"/>
      <c r="IG24" s="1325"/>
      <c r="IH24" s="1325"/>
      <c r="II24" s="1325"/>
      <c r="IJ24" s="1325"/>
      <c r="IK24" s="1325"/>
      <c r="IL24" s="1325"/>
      <c r="IM24" s="1325"/>
      <c r="IN24" s="1325"/>
      <c r="IO24" s="1325"/>
      <c r="IP24" s="1325"/>
      <c r="IQ24" s="1325"/>
      <c r="IR24" s="1325"/>
      <c r="IS24" s="1325"/>
      <c r="IT24" s="1325"/>
      <c r="IU24" s="1325"/>
      <c r="IV24" s="1325"/>
    </row>
    <row r="25" spans="1:256" ht="31.5">
      <c r="A25" s="1365" t="s">
        <v>797</v>
      </c>
      <c r="B25" s="1366" t="s">
        <v>608</v>
      </c>
      <c r="C25" s="1367"/>
      <c r="D25" s="1367"/>
      <c r="E25" s="1325"/>
      <c r="F25" s="1325"/>
      <c r="G25" s="1325"/>
      <c r="H25" s="1325"/>
      <c r="I25" s="1325"/>
      <c r="J25" s="1325"/>
      <c r="K25" s="1325"/>
      <c r="L25" s="1325"/>
      <c r="M25" s="1325"/>
      <c r="N25" s="1325"/>
      <c r="O25" s="1325"/>
      <c r="P25" s="1325"/>
      <c r="Q25" s="1325"/>
      <c r="R25" s="1325"/>
      <c r="S25" s="1325"/>
      <c r="T25" s="1325"/>
      <c r="U25" s="1325"/>
      <c r="V25" s="1325"/>
      <c r="W25" s="1325"/>
      <c r="X25" s="1325"/>
      <c r="Y25" s="1325"/>
      <c r="Z25" s="1325"/>
      <c r="AA25" s="1325"/>
      <c r="AB25" s="1325"/>
      <c r="AC25" s="1325"/>
      <c r="AD25" s="1325"/>
      <c r="AE25" s="1325"/>
      <c r="AF25" s="1325"/>
      <c r="AG25" s="1325"/>
      <c r="AH25" s="1325"/>
      <c r="AI25" s="1325"/>
      <c r="AJ25" s="1325"/>
      <c r="AK25" s="1325"/>
      <c r="AL25" s="1325"/>
      <c r="AM25" s="1325"/>
      <c r="AN25" s="1325"/>
      <c r="AO25" s="1325"/>
      <c r="AP25" s="1325"/>
      <c r="AQ25" s="1325"/>
      <c r="AR25" s="1325"/>
      <c r="AS25" s="1325"/>
      <c r="AT25" s="1325"/>
      <c r="AU25" s="1325"/>
      <c r="AV25" s="1325"/>
      <c r="AW25" s="1325"/>
      <c r="AX25" s="1325"/>
      <c r="AY25" s="1325"/>
      <c r="AZ25" s="1325"/>
      <c r="BA25" s="1325"/>
      <c r="BB25" s="1325"/>
      <c r="BC25" s="1325"/>
      <c r="BD25" s="1325"/>
      <c r="BE25" s="1325"/>
      <c r="BF25" s="1325"/>
      <c r="BG25" s="1325"/>
      <c r="BH25" s="1325"/>
      <c r="BI25" s="1325"/>
      <c r="BJ25" s="1325"/>
      <c r="BK25" s="1325"/>
      <c r="BL25" s="1325"/>
      <c r="BM25" s="1325"/>
      <c r="BN25" s="1325"/>
      <c r="BO25" s="1325"/>
      <c r="BP25" s="1325"/>
      <c r="BQ25" s="1325"/>
      <c r="BR25" s="1325"/>
      <c r="BS25" s="1325"/>
      <c r="BT25" s="1325"/>
      <c r="BU25" s="1325"/>
      <c r="BV25" s="1325"/>
      <c r="BW25" s="1325"/>
      <c r="BX25" s="1325"/>
      <c r="BY25" s="1325"/>
      <c r="BZ25" s="1325"/>
      <c r="CA25" s="1325"/>
      <c r="CB25" s="1325"/>
      <c r="CC25" s="1325"/>
      <c r="CD25" s="1325"/>
      <c r="CE25" s="1325"/>
      <c r="CF25" s="1325"/>
      <c r="CG25" s="1325"/>
      <c r="CH25" s="1325"/>
      <c r="CI25" s="1325"/>
      <c r="CJ25" s="1325"/>
      <c r="CK25" s="1325"/>
      <c r="CL25" s="1325"/>
      <c r="CM25" s="1325"/>
      <c r="CN25" s="1325"/>
      <c r="CO25" s="1325"/>
      <c r="CP25" s="1325"/>
      <c r="CQ25" s="1325"/>
      <c r="CR25" s="1325"/>
      <c r="CS25" s="1325"/>
      <c r="CT25" s="1325"/>
      <c r="CU25" s="1325"/>
      <c r="CV25" s="1325"/>
      <c r="CW25" s="1325"/>
      <c r="CX25" s="1325"/>
      <c r="CY25" s="1325"/>
      <c r="CZ25" s="1325"/>
      <c r="DA25" s="1325"/>
      <c r="DB25" s="1325"/>
      <c r="DC25" s="1325"/>
      <c r="DD25" s="1325"/>
      <c r="DE25" s="1325"/>
      <c r="DF25" s="1325"/>
      <c r="DG25" s="1325"/>
      <c r="DH25" s="1325"/>
      <c r="DI25" s="1325"/>
      <c r="DJ25" s="1325"/>
      <c r="DK25" s="1325"/>
      <c r="DL25" s="1325"/>
      <c r="DM25" s="1325"/>
      <c r="DN25" s="1325"/>
      <c r="DO25" s="1325"/>
      <c r="DP25" s="1325"/>
      <c r="DQ25" s="1325"/>
      <c r="DR25" s="1325"/>
      <c r="DS25" s="1325"/>
      <c r="DT25" s="1325"/>
      <c r="DU25" s="1325"/>
      <c r="DV25" s="1325"/>
      <c r="DW25" s="1325"/>
      <c r="DX25" s="1325"/>
      <c r="DY25" s="1325"/>
      <c r="DZ25" s="1325"/>
      <c r="EA25" s="1325"/>
      <c r="EB25" s="1325"/>
      <c r="EC25" s="1325"/>
      <c r="ED25" s="1325"/>
      <c r="EE25" s="1325"/>
      <c r="EF25" s="1325"/>
      <c r="EG25" s="1325"/>
      <c r="EH25" s="1325"/>
      <c r="EI25" s="1325"/>
      <c r="EJ25" s="1325"/>
      <c r="EK25" s="1325"/>
      <c r="EL25" s="1325"/>
      <c r="EM25" s="1325"/>
      <c r="EN25" s="1325"/>
      <c r="EO25" s="1325"/>
      <c r="EP25" s="1325"/>
      <c r="EQ25" s="1325"/>
      <c r="ER25" s="1325"/>
      <c r="ES25" s="1325"/>
      <c r="ET25" s="1325"/>
      <c r="EU25" s="1325"/>
      <c r="EV25" s="1325"/>
      <c r="EW25" s="1325"/>
      <c r="EX25" s="1325"/>
      <c r="EY25" s="1325"/>
      <c r="EZ25" s="1325"/>
      <c r="FA25" s="1325"/>
      <c r="FB25" s="1325"/>
      <c r="FC25" s="1325"/>
      <c r="FD25" s="1325"/>
      <c r="FE25" s="1325"/>
      <c r="FF25" s="1325"/>
      <c r="FG25" s="1325"/>
      <c r="FH25" s="1325"/>
      <c r="FI25" s="1325"/>
      <c r="FJ25" s="1325"/>
      <c r="FK25" s="1325"/>
      <c r="FL25" s="1325"/>
      <c r="FM25" s="1325"/>
      <c r="FN25" s="1325"/>
      <c r="FO25" s="1325"/>
      <c r="FP25" s="1325"/>
      <c r="FQ25" s="1325"/>
      <c r="FR25" s="1325"/>
      <c r="FS25" s="1325"/>
      <c r="FT25" s="1325"/>
      <c r="FU25" s="1325"/>
      <c r="FV25" s="1325"/>
      <c r="FW25" s="1325"/>
      <c r="FX25" s="1325"/>
      <c r="FY25" s="1325"/>
      <c r="FZ25" s="1325"/>
      <c r="GA25" s="1325"/>
      <c r="GB25" s="1325"/>
      <c r="GC25" s="1325"/>
      <c r="GD25" s="1325"/>
      <c r="GE25" s="1325"/>
      <c r="GF25" s="1325"/>
      <c r="GG25" s="1325"/>
      <c r="GH25" s="1325"/>
      <c r="GI25" s="1325"/>
      <c r="GJ25" s="1325"/>
      <c r="GK25" s="1325"/>
      <c r="GL25" s="1325"/>
      <c r="GM25" s="1325"/>
      <c r="GN25" s="1325"/>
      <c r="GO25" s="1325"/>
      <c r="GP25" s="1325"/>
      <c r="GQ25" s="1325"/>
      <c r="GR25" s="1325"/>
      <c r="GS25" s="1325"/>
      <c r="GT25" s="1325"/>
      <c r="GU25" s="1325"/>
      <c r="GV25" s="1325"/>
      <c r="GW25" s="1325"/>
      <c r="GX25" s="1325"/>
      <c r="GY25" s="1325"/>
      <c r="GZ25" s="1325"/>
      <c r="HA25" s="1325"/>
      <c r="HB25" s="1325"/>
      <c r="HC25" s="1325"/>
      <c r="HD25" s="1325"/>
      <c r="HE25" s="1325"/>
      <c r="HF25" s="1325"/>
      <c r="HG25" s="1325"/>
      <c r="HH25" s="1325"/>
      <c r="HI25" s="1325"/>
      <c r="HJ25" s="1325"/>
      <c r="HK25" s="1325"/>
      <c r="HL25" s="1325"/>
      <c r="HM25" s="1325"/>
      <c r="HN25" s="1325"/>
      <c r="HO25" s="1325"/>
      <c r="HP25" s="1325"/>
      <c r="HQ25" s="1325"/>
      <c r="HR25" s="1325"/>
      <c r="HS25" s="1325"/>
      <c r="HT25" s="1325"/>
      <c r="HU25" s="1325"/>
      <c r="HV25" s="1325"/>
      <c r="HW25" s="1325"/>
      <c r="HX25" s="1325"/>
      <c r="HY25" s="1325"/>
      <c r="HZ25" s="1325"/>
      <c r="IA25" s="1325"/>
      <c r="IB25" s="1325"/>
      <c r="IC25" s="1325"/>
      <c r="ID25" s="1325"/>
      <c r="IE25" s="1325"/>
      <c r="IF25" s="1325"/>
      <c r="IG25" s="1325"/>
      <c r="IH25" s="1325"/>
      <c r="II25" s="1325"/>
      <c r="IJ25" s="1325"/>
      <c r="IK25" s="1325"/>
      <c r="IL25" s="1325"/>
      <c r="IM25" s="1325"/>
      <c r="IN25" s="1325"/>
      <c r="IO25" s="1325"/>
      <c r="IP25" s="1325"/>
      <c r="IQ25" s="1325"/>
      <c r="IR25" s="1325"/>
      <c r="IS25" s="1325"/>
      <c r="IT25" s="1325"/>
      <c r="IU25" s="1325"/>
      <c r="IV25" s="1325"/>
    </row>
    <row r="26" spans="1:256" ht="15.75">
      <c r="A26" s="1365" t="s">
        <v>798</v>
      </c>
      <c r="B26" s="1366" t="s">
        <v>677</v>
      </c>
      <c r="C26" s="1367"/>
      <c r="D26" s="1367"/>
      <c r="E26" s="1325"/>
      <c r="F26" s="1325"/>
      <c r="G26" s="1325"/>
      <c r="H26" s="1325"/>
      <c r="I26" s="1325"/>
      <c r="J26" s="1325"/>
      <c r="K26" s="1325"/>
      <c r="L26" s="1325"/>
      <c r="M26" s="1325"/>
      <c r="N26" s="1325"/>
      <c r="O26" s="1325"/>
      <c r="P26" s="1325"/>
      <c r="Q26" s="1325"/>
      <c r="R26" s="1325"/>
      <c r="S26" s="1325"/>
      <c r="T26" s="1325"/>
      <c r="U26" s="1325"/>
      <c r="V26" s="1325"/>
      <c r="W26" s="1325"/>
      <c r="X26" s="1325"/>
      <c r="Y26" s="1325"/>
      <c r="Z26" s="1325"/>
      <c r="AA26" s="1325"/>
      <c r="AB26" s="1325"/>
      <c r="AC26" s="1325"/>
      <c r="AD26" s="1325"/>
      <c r="AE26" s="1325"/>
      <c r="AF26" s="1325"/>
      <c r="AG26" s="1325"/>
      <c r="AH26" s="1325"/>
      <c r="AI26" s="1325"/>
      <c r="AJ26" s="1325"/>
      <c r="AK26" s="1325"/>
      <c r="AL26" s="1325"/>
      <c r="AM26" s="1325"/>
      <c r="AN26" s="1325"/>
      <c r="AO26" s="1325"/>
      <c r="AP26" s="1325"/>
      <c r="AQ26" s="1325"/>
      <c r="AR26" s="1325"/>
      <c r="AS26" s="1325"/>
      <c r="AT26" s="1325"/>
      <c r="AU26" s="1325"/>
      <c r="AV26" s="1325"/>
      <c r="AW26" s="1325"/>
      <c r="AX26" s="1325"/>
      <c r="AY26" s="1325"/>
      <c r="AZ26" s="1325"/>
      <c r="BA26" s="1325"/>
      <c r="BB26" s="1325"/>
      <c r="BC26" s="1325"/>
      <c r="BD26" s="1325"/>
      <c r="BE26" s="1325"/>
      <c r="BF26" s="1325"/>
      <c r="BG26" s="1325"/>
      <c r="BH26" s="1325"/>
      <c r="BI26" s="1325"/>
      <c r="BJ26" s="1325"/>
      <c r="BK26" s="1325"/>
      <c r="BL26" s="1325"/>
      <c r="BM26" s="1325"/>
      <c r="BN26" s="1325"/>
      <c r="BO26" s="1325"/>
      <c r="BP26" s="1325"/>
      <c r="BQ26" s="1325"/>
      <c r="BR26" s="1325"/>
      <c r="BS26" s="1325"/>
      <c r="BT26" s="1325"/>
      <c r="BU26" s="1325"/>
      <c r="BV26" s="1325"/>
      <c r="BW26" s="1325"/>
      <c r="BX26" s="1325"/>
      <c r="BY26" s="1325"/>
      <c r="BZ26" s="1325"/>
      <c r="CA26" s="1325"/>
      <c r="CB26" s="1325"/>
      <c r="CC26" s="1325"/>
      <c r="CD26" s="1325"/>
      <c r="CE26" s="1325"/>
      <c r="CF26" s="1325"/>
      <c r="CG26" s="1325"/>
      <c r="CH26" s="1325"/>
      <c r="CI26" s="1325"/>
      <c r="CJ26" s="1325"/>
      <c r="CK26" s="1325"/>
      <c r="CL26" s="1325"/>
      <c r="CM26" s="1325"/>
      <c r="CN26" s="1325"/>
      <c r="CO26" s="1325"/>
      <c r="CP26" s="1325"/>
      <c r="CQ26" s="1325"/>
      <c r="CR26" s="1325"/>
      <c r="CS26" s="1325"/>
      <c r="CT26" s="1325"/>
      <c r="CU26" s="1325"/>
      <c r="CV26" s="1325"/>
      <c r="CW26" s="1325"/>
      <c r="CX26" s="1325"/>
      <c r="CY26" s="1325"/>
      <c r="CZ26" s="1325"/>
      <c r="DA26" s="1325"/>
      <c r="DB26" s="1325"/>
      <c r="DC26" s="1325"/>
      <c r="DD26" s="1325"/>
      <c r="DE26" s="1325"/>
      <c r="DF26" s="1325"/>
      <c r="DG26" s="1325"/>
      <c r="DH26" s="1325"/>
      <c r="DI26" s="1325"/>
      <c r="DJ26" s="1325"/>
      <c r="DK26" s="1325"/>
      <c r="DL26" s="1325"/>
      <c r="DM26" s="1325"/>
      <c r="DN26" s="1325"/>
      <c r="DO26" s="1325"/>
      <c r="DP26" s="1325"/>
      <c r="DQ26" s="1325"/>
      <c r="DR26" s="1325"/>
      <c r="DS26" s="1325"/>
      <c r="DT26" s="1325"/>
      <c r="DU26" s="1325"/>
      <c r="DV26" s="1325"/>
      <c r="DW26" s="1325"/>
      <c r="DX26" s="1325"/>
      <c r="DY26" s="1325"/>
      <c r="DZ26" s="1325"/>
      <c r="EA26" s="1325"/>
      <c r="EB26" s="1325"/>
      <c r="EC26" s="1325"/>
      <c r="ED26" s="1325"/>
      <c r="EE26" s="1325"/>
      <c r="EF26" s="1325"/>
      <c r="EG26" s="1325"/>
      <c r="EH26" s="1325"/>
      <c r="EI26" s="1325"/>
      <c r="EJ26" s="1325"/>
      <c r="EK26" s="1325"/>
      <c r="EL26" s="1325"/>
      <c r="EM26" s="1325"/>
      <c r="EN26" s="1325"/>
      <c r="EO26" s="1325"/>
      <c r="EP26" s="1325"/>
      <c r="EQ26" s="1325"/>
      <c r="ER26" s="1325"/>
      <c r="ES26" s="1325"/>
      <c r="ET26" s="1325"/>
      <c r="EU26" s="1325"/>
      <c r="EV26" s="1325"/>
      <c r="EW26" s="1325"/>
      <c r="EX26" s="1325"/>
      <c r="EY26" s="1325"/>
      <c r="EZ26" s="1325"/>
      <c r="FA26" s="1325"/>
      <c r="FB26" s="1325"/>
      <c r="FC26" s="1325"/>
      <c r="FD26" s="1325"/>
      <c r="FE26" s="1325"/>
      <c r="FF26" s="1325"/>
      <c r="FG26" s="1325"/>
      <c r="FH26" s="1325"/>
      <c r="FI26" s="1325"/>
      <c r="FJ26" s="1325"/>
      <c r="FK26" s="1325"/>
      <c r="FL26" s="1325"/>
      <c r="FM26" s="1325"/>
      <c r="FN26" s="1325"/>
      <c r="FO26" s="1325"/>
      <c r="FP26" s="1325"/>
      <c r="FQ26" s="1325"/>
      <c r="FR26" s="1325"/>
      <c r="FS26" s="1325"/>
      <c r="FT26" s="1325"/>
      <c r="FU26" s="1325"/>
      <c r="FV26" s="1325"/>
      <c r="FW26" s="1325"/>
      <c r="FX26" s="1325"/>
      <c r="FY26" s="1325"/>
      <c r="FZ26" s="1325"/>
      <c r="GA26" s="1325"/>
      <c r="GB26" s="1325"/>
      <c r="GC26" s="1325"/>
      <c r="GD26" s="1325"/>
      <c r="GE26" s="1325"/>
      <c r="GF26" s="1325"/>
      <c r="GG26" s="1325"/>
      <c r="GH26" s="1325"/>
      <c r="GI26" s="1325"/>
      <c r="GJ26" s="1325"/>
      <c r="GK26" s="1325"/>
      <c r="GL26" s="1325"/>
      <c r="GM26" s="1325"/>
      <c r="GN26" s="1325"/>
      <c r="GO26" s="1325"/>
      <c r="GP26" s="1325"/>
      <c r="GQ26" s="1325"/>
      <c r="GR26" s="1325"/>
      <c r="GS26" s="1325"/>
      <c r="GT26" s="1325"/>
      <c r="GU26" s="1325"/>
      <c r="GV26" s="1325"/>
      <c r="GW26" s="1325"/>
      <c r="GX26" s="1325"/>
      <c r="GY26" s="1325"/>
      <c r="GZ26" s="1325"/>
      <c r="HA26" s="1325"/>
      <c r="HB26" s="1325"/>
      <c r="HC26" s="1325"/>
      <c r="HD26" s="1325"/>
      <c r="HE26" s="1325"/>
      <c r="HF26" s="1325"/>
      <c r="HG26" s="1325"/>
      <c r="HH26" s="1325"/>
      <c r="HI26" s="1325"/>
      <c r="HJ26" s="1325"/>
      <c r="HK26" s="1325"/>
      <c r="HL26" s="1325"/>
      <c r="HM26" s="1325"/>
      <c r="HN26" s="1325"/>
      <c r="HO26" s="1325"/>
      <c r="HP26" s="1325"/>
      <c r="HQ26" s="1325"/>
      <c r="HR26" s="1325"/>
      <c r="HS26" s="1325"/>
      <c r="HT26" s="1325"/>
      <c r="HU26" s="1325"/>
      <c r="HV26" s="1325"/>
      <c r="HW26" s="1325"/>
      <c r="HX26" s="1325"/>
      <c r="HY26" s="1325"/>
      <c r="HZ26" s="1325"/>
      <c r="IA26" s="1325"/>
      <c r="IB26" s="1325"/>
      <c r="IC26" s="1325"/>
      <c r="ID26" s="1325"/>
      <c r="IE26" s="1325"/>
      <c r="IF26" s="1325"/>
      <c r="IG26" s="1325"/>
      <c r="IH26" s="1325"/>
      <c r="II26" s="1325"/>
      <c r="IJ26" s="1325"/>
      <c r="IK26" s="1325"/>
      <c r="IL26" s="1325"/>
      <c r="IM26" s="1325"/>
      <c r="IN26" s="1325"/>
      <c r="IO26" s="1325"/>
      <c r="IP26" s="1325"/>
      <c r="IQ26" s="1325"/>
      <c r="IR26" s="1325"/>
      <c r="IS26" s="1325"/>
      <c r="IT26" s="1325"/>
      <c r="IU26" s="1325"/>
      <c r="IV26" s="1325"/>
    </row>
    <row r="27" spans="1:256" ht="15.75">
      <c r="A27" s="1365" t="s">
        <v>799</v>
      </c>
      <c r="B27" s="1366" t="s">
        <v>678</v>
      </c>
      <c r="C27" s="1367"/>
      <c r="D27" s="1367"/>
      <c r="E27" s="1325"/>
      <c r="F27" s="1325"/>
      <c r="G27" s="1325"/>
      <c r="H27" s="1325"/>
      <c r="I27" s="1325"/>
      <c r="J27" s="1325"/>
      <c r="K27" s="1325"/>
      <c r="L27" s="1325"/>
      <c r="M27" s="1325"/>
      <c r="N27" s="1325"/>
      <c r="O27" s="1325"/>
      <c r="P27" s="1325"/>
      <c r="Q27" s="1325"/>
      <c r="R27" s="1325"/>
      <c r="S27" s="1325"/>
      <c r="T27" s="1325"/>
      <c r="U27" s="1325"/>
      <c r="V27" s="1325"/>
      <c r="W27" s="1325"/>
      <c r="X27" s="1325"/>
      <c r="Y27" s="1325"/>
      <c r="Z27" s="1325"/>
      <c r="AA27" s="1325"/>
      <c r="AB27" s="1325"/>
      <c r="AC27" s="1325"/>
      <c r="AD27" s="1325"/>
      <c r="AE27" s="1325"/>
      <c r="AF27" s="1325"/>
      <c r="AG27" s="1325"/>
      <c r="AH27" s="1325"/>
      <c r="AI27" s="1325"/>
      <c r="AJ27" s="1325"/>
      <c r="AK27" s="1325"/>
      <c r="AL27" s="1325"/>
      <c r="AM27" s="1325"/>
      <c r="AN27" s="1325"/>
      <c r="AO27" s="1325"/>
      <c r="AP27" s="1325"/>
      <c r="AQ27" s="1325"/>
      <c r="AR27" s="1325"/>
      <c r="AS27" s="1325"/>
      <c r="AT27" s="1325"/>
      <c r="AU27" s="1325"/>
      <c r="AV27" s="1325"/>
      <c r="AW27" s="1325"/>
      <c r="AX27" s="1325"/>
      <c r="AY27" s="1325"/>
      <c r="AZ27" s="1325"/>
      <c r="BA27" s="1325"/>
      <c r="BB27" s="1325"/>
      <c r="BC27" s="1325"/>
      <c r="BD27" s="1325"/>
      <c r="BE27" s="1325"/>
      <c r="BF27" s="1325"/>
      <c r="BG27" s="1325"/>
      <c r="BH27" s="1325"/>
      <c r="BI27" s="1325"/>
      <c r="BJ27" s="1325"/>
      <c r="BK27" s="1325"/>
      <c r="BL27" s="1325"/>
      <c r="BM27" s="1325"/>
      <c r="BN27" s="1325"/>
      <c r="BO27" s="1325"/>
      <c r="BP27" s="1325"/>
      <c r="BQ27" s="1325"/>
      <c r="BR27" s="1325"/>
      <c r="BS27" s="1325"/>
      <c r="BT27" s="1325"/>
      <c r="BU27" s="1325"/>
      <c r="BV27" s="1325"/>
      <c r="BW27" s="1325"/>
      <c r="BX27" s="1325"/>
      <c r="BY27" s="1325"/>
      <c r="BZ27" s="1325"/>
      <c r="CA27" s="1325"/>
      <c r="CB27" s="1325"/>
      <c r="CC27" s="1325"/>
      <c r="CD27" s="1325"/>
      <c r="CE27" s="1325"/>
      <c r="CF27" s="1325"/>
      <c r="CG27" s="1325"/>
      <c r="CH27" s="1325"/>
      <c r="CI27" s="1325"/>
      <c r="CJ27" s="1325"/>
      <c r="CK27" s="1325"/>
      <c r="CL27" s="1325"/>
      <c r="CM27" s="1325"/>
      <c r="CN27" s="1325"/>
      <c r="CO27" s="1325"/>
      <c r="CP27" s="1325"/>
      <c r="CQ27" s="1325"/>
      <c r="CR27" s="1325"/>
      <c r="CS27" s="1325"/>
      <c r="CT27" s="1325"/>
      <c r="CU27" s="1325"/>
      <c r="CV27" s="1325"/>
      <c r="CW27" s="1325"/>
      <c r="CX27" s="1325"/>
      <c r="CY27" s="1325"/>
      <c r="CZ27" s="1325"/>
      <c r="DA27" s="1325"/>
      <c r="DB27" s="1325"/>
      <c r="DC27" s="1325"/>
      <c r="DD27" s="1325"/>
      <c r="DE27" s="1325"/>
      <c r="DF27" s="1325"/>
      <c r="DG27" s="1325"/>
      <c r="DH27" s="1325"/>
      <c r="DI27" s="1325"/>
      <c r="DJ27" s="1325"/>
      <c r="DK27" s="1325"/>
      <c r="DL27" s="1325"/>
      <c r="DM27" s="1325"/>
      <c r="DN27" s="1325"/>
      <c r="DO27" s="1325"/>
      <c r="DP27" s="1325"/>
      <c r="DQ27" s="1325"/>
      <c r="DR27" s="1325"/>
      <c r="DS27" s="1325"/>
      <c r="DT27" s="1325"/>
      <c r="DU27" s="1325"/>
      <c r="DV27" s="1325"/>
      <c r="DW27" s="1325"/>
      <c r="DX27" s="1325"/>
      <c r="DY27" s="1325"/>
      <c r="DZ27" s="1325"/>
      <c r="EA27" s="1325"/>
      <c r="EB27" s="1325"/>
      <c r="EC27" s="1325"/>
      <c r="ED27" s="1325"/>
      <c r="EE27" s="1325"/>
      <c r="EF27" s="1325"/>
      <c r="EG27" s="1325"/>
      <c r="EH27" s="1325"/>
      <c r="EI27" s="1325"/>
      <c r="EJ27" s="1325"/>
      <c r="EK27" s="1325"/>
      <c r="EL27" s="1325"/>
      <c r="EM27" s="1325"/>
      <c r="EN27" s="1325"/>
      <c r="EO27" s="1325"/>
      <c r="EP27" s="1325"/>
      <c r="EQ27" s="1325"/>
      <c r="ER27" s="1325"/>
      <c r="ES27" s="1325"/>
      <c r="ET27" s="1325"/>
      <c r="EU27" s="1325"/>
      <c r="EV27" s="1325"/>
      <c r="EW27" s="1325"/>
      <c r="EX27" s="1325"/>
      <c r="EY27" s="1325"/>
      <c r="EZ27" s="1325"/>
      <c r="FA27" s="1325"/>
      <c r="FB27" s="1325"/>
      <c r="FC27" s="1325"/>
      <c r="FD27" s="1325"/>
      <c r="FE27" s="1325"/>
      <c r="FF27" s="1325"/>
      <c r="FG27" s="1325"/>
      <c r="FH27" s="1325"/>
      <c r="FI27" s="1325"/>
      <c r="FJ27" s="1325"/>
      <c r="FK27" s="1325"/>
      <c r="FL27" s="1325"/>
      <c r="FM27" s="1325"/>
      <c r="FN27" s="1325"/>
      <c r="FO27" s="1325"/>
      <c r="FP27" s="1325"/>
      <c r="FQ27" s="1325"/>
      <c r="FR27" s="1325"/>
      <c r="FS27" s="1325"/>
      <c r="FT27" s="1325"/>
      <c r="FU27" s="1325"/>
      <c r="FV27" s="1325"/>
      <c r="FW27" s="1325"/>
      <c r="FX27" s="1325"/>
      <c r="FY27" s="1325"/>
      <c r="FZ27" s="1325"/>
      <c r="GA27" s="1325"/>
      <c r="GB27" s="1325"/>
      <c r="GC27" s="1325"/>
      <c r="GD27" s="1325"/>
      <c r="GE27" s="1325"/>
      <c r="GF27" s="1325"/>
      <c r="GG27" s="1325"/>
      <c r="GH27" s="1325"/>
      <c r="GI27" s="1325"/>
      <c r="GJ27" s="1325"/>
      <c r="GK27" s="1325"/>
      <c r="GL27" s="1325"/>
      <c r="GM27" s="1325"/>
      <c r="GN27" s="1325"/>
      <c r="GO27" s="1325"/>
      <c r="GP27" s="1325"/>
      <c r="GQ27" s="1325"/>
      <c r="GR27" s="1325"/>
      <c r="GS27" s="1325"/>
      <c r="GT27" s="1325"/>
      <c r="GU27" s="1325"/>
      <c r="GV27" s="1325"/>
      <c r="GW27" s="1325"/>
      <c r="GX27" s="1325"/>
      <c r="GY27" s="1325"/>
      <c r="GZ27" s="1325"/>
      <c r="HA27" s="1325"/>
      <c r="HB27" s="1325"/>
      <c r="HC27" s="1325"/>
      <c r="HD27" s="1325"/>
      <c r="HE27" s="1325"/>
      <c r="HF27" s="1325"/>
      <c r="HG27" s="1325"/>
      <c r="HH27" s="1325"/>
      <c r="HI27" s="1325"/>
      <c r="HJ27" s="1325"/>
      <c r="HK27" s="1325"/>
      <c r="HL27" s="1325"/>
      <c r="HM27" s="1325"/>
      <c r="HN27" s="1325"/>
      <c r="HO27" s="1325"/>
      <c r="HP27" s="1325"/>
      <c r="HQ27" s="1325"/>
      <c r="HR27" s="1325"/>
      <c r="HS27" s="1325"/>
      <c r="HT27" s="1325"/>
      <c r="HU27" s="1325"/>
      <c r="HV27" s="1325"/>
      <c r="HW27" s="1325"/>
      <c r="HX27" s="1325"/>
      <c r="HY27" s="1325"/>
      <c r="HZ27" s="1325"/>
      <c r="IA27" s="1325"/>
      <c r="IB27" s="1325"/>
      <c r="IC27" s="1325"/>
      <c r="ID27" s="1325"/>
      <c r="IE27" s="1325"/>
      <c r="IF27" s="1325"/>
      <c r="IG27" s="1325"/>
      <c r="IH27" s="1325"/>
      <c r="II27" s="1325"/>
      <c r="IJ27" s="1325"/>
      <c r="IK27" s="1325"/>
      <c r="IL27" s="1325"/>
      <c r="IM27" s="1325"/>
      <c r="IN27" s="1325"/>
      <c r="IO27" s="1325"/>
      <c r="IP27" s="1325"/>
      <c r="IQ27" s="1325"/>
      <c r="IR27" s="1325"/>
      <c r="IS27" s="1325"/>
      <c r="IT27" s="1325"/>
      <c r="IU27" s="1325"/>
      <c r="IV27" s="1325"/>
    </row>
    <row r="28" spans="1:256" ht="15.75">
      <c r="A28" s="1368" t="s">
        <v>800</v>
      </c>
      <c r="B28" s="1369" t="s">
        <v>679</v>
      </c>
      <c r="C28" s="1371">
        <f>SUM(C29:C32)</f>
        <v>0</v>
      </c>
      <c r="D28" s="1371">
        <f>SUM(D29:D32)</f>
        <v>0</v>
      </c>
      <c r="E28" s="1325"/>
      <c r="F28" s="1325"/>
      <c r="G28" s="1325"/>
      <c r="H28" s="1325"/>
      <c r="I28" s="1325"/>
      <c r="J28" s="1325"/>
      <c r="K28" s="1325"/>
      <c r="L28" s="1325"/>
      <c r="M28" s="1325"/>
      <c r="N28" s="1325"/>
      <c r="O28" s="1325"/>
      <c r="P28" s="1325"/>
      <c r="Q28" s="1325"/>
      <c r="R28" s="1325"/>
      <c r="S28" s="1325"/>
      <c r="T28" s="1325"/>
      <c r="U28" s="1325"/>
      <c r="V28" s="1325"/>
      <c r="W28" s="1325"/>
      <c r="X28" s="1325"/>
      <c r="Y28" s="1325"/>
      <c r="Z28" s="1325"/>
      <c r="AA28" s="1325"/>
      <c r="AB28" s="1325"/>
      <c r="AC28" s="1325"/>
      <c r="AD28" s="1325"/>
      <c r="AE28" s="1325"/>
      <c r="AF28" s="1325"/>
      <c r="AG28" s="1325"/>
      <c r="AH28" s="1325"/>
      <c r="AI28" s="1325"/>
      <c r="AJ28" s="1325"/>
      <c r="AK28" s="1325"/>
      <c r="AL28" s="1325"/>
      <c r="AM28" s="1325"/>
      <c r="AN28" s="1325"/>
      <c r="AO28" s="1325"/>
      <c r="AP28" s="1325"/>
      <c r="AQ28" s="1325"/>
      <c r="AR28" s="1325"/>
      <c r="AS28" s="1325"/>
      <c r="AT28" s="1325"/>
      <c r="AU28" s="1325"/>
      <c r="AV28" s="1325"/>
      <c r="AW28" s="1325"/>
      <c r="AX28" s="1325"/>
      <c r="AY28" s="1325"/>
      <c r="AZ28" s="1325"/>
      <c r="BA28" s="1325"/>
      <c r="BB28" s="1325"/>
      <c r="BC28" s="1325"/>
      <c r="BD28" s="1325"/>
      <c r="BE28" s="1325"/>
      <c r="BF28" s="1325"/>
      <c r="BG28" s="1325"/>
      <c r="BH28" s="1325"/>
      <c r="BI28" s="1325"/>
      <c r="BJ28" s="1325"/>
      <c r="BK28" s="1325"/>
      <c r="BL28" s="1325"/>
      <c r="BM28" s="1325"/>
      <c r="BN28" s="1325"/>
      <c r="BO28" s="1325"/>
      <c r="BP28" s="1325"/>
      <c r="BQ28" s="1325"/>
      <c r="BR28" s="1325"/>
      <c r="BS28" s="1325"/>
      <c r="BT28" s="1325"/>
      <c r="BU28" s="1325"/>
      <c r="BV28" s="1325"/>
      <c r="BW28" s="1325"/>
      <c r="BX28" s="1325"/>
      <c r="BY28" s="1325"/>
      <c r="BZ28" s="1325"/>
      <c r="CA28" s="1325"/>
      <c r="CB28" s="1325"/>
      <c r="CC28" s="1325"/>
      <c r="CD28" s="1325"/>
      <c r="CE28" s="1325"/>
      <c r="CF28" s="1325"/>
      <c r="CG28" s="1325"/>
      <c r="CH28" s="1325"/>
      <c r="CI28" s="1325"/>
      <c r="CJ28" s="1325"/>
      <c r="CK28" s="1325"/>
      <c r="CL28" s="1325"/>
      <c r="CM28" s="1325"/>
      <c r="CN28" s="1325"/>
      <c r="CO28" s="1325"/>
      <c r="CP28" s="1325"/>
      <c r="CQ28" s="1325"/>
      <c r="CR28" s="1325"/>
      <c r="CS28" s="1325"/>
      <c r="CT28" s="1325"/>
      <c r="CU28" s="1325"/>
      <c r="CV28" s="1325"/>
      <c r="CW28" s="1325"/>
      <c r="CX28" s="1325"/>
      <c r="CY28" s="1325"/>
      <c r="CZ28" s="1325"/>
      <c r="DA28" s="1325"/>
      <c r="DB28" s="1325"/>
      <c r="DC28" s="1325"/>
      <c r="DD28" s="1325"/>
      <c r="DE28" s="1325"/>
      <c r="DF28" s="1325"/>
      <c r="DG28" s="1325"/>
      <c r="DH28" s="1325"/>
      <c r="DI28" s="1325"/>
      <c r="DJ28" s="1325"/>
      <c r="DK28" s="1325"/>
      <c r="DL28" s="1325"/>
      <c r="DM28" s="1325"/>
      <c r="DN28" s="1325"/>
      <c r="DO28" s="1325"/>
      <c r="DP28" s="1325"/>
      <c r="DQ28" s="1325"/>
      <c r="DR28" s="1325"/>
      <c r="DS28" s="1325"/>
      <c r="DT28" s="1325"/>
      <c r="DU28" s="1325"/>
      <c r="DV28" s="1325"/>
      <c r="DW28" s="1325"/>
      <c r="DX28" s="1325"/>
      <c r="DY28" s="1325"/>
      <c r="DZ28" s="1325"/>
      <c r="EA28" s="1325"/>
      <c r="EB28" s="1325"/>
      <c r="EC28" s="1325"/>
      <c r="ED28" s="1325"/>
      <c r="EE28" s="1325"/>
      <c r="EF28" s="1325"/>
      <c r="EG28" s="1325"/>
      <c r="EH28" s="1325"/>
      <c r="EI28" s="1325"/>
      <c r="EJ28" s="1325"/>
      <c r="EK28" s="1325"/>
      <c r="EL28" s="1325"/>
      <c r="EM28" s="1325"/>
      <c r="EN28" s="1325"/>
      <c r="EO28" s="1325"/>
      <c r="EP28" s="1325"/>
      <c r="EQ28" s="1325"/>
      <c r="ER28" s="1325"/>
      <c r="ES28" s="1325"/>
      <c r="ET28" s="1325"/>
      <c r="EU28" s="1325"/>
      <c r="EV28" s="1325"/>
      <c r="EW28" s="1325"/>
      <c r="EX28" s="1325"/>
      <c r="EY28" s="1325"/>
      <c r="EZ28" s="1325"/>
      <c r="FA28" s="1325"/>
      <c r="FB28" s="1325"/>
      <c r="FC28" s="1325"/>
      <c r="FD28" s="1325"/>
      <c r="FE28" s="1325"/>
      <c r="FF28" s="1325"/>
      <c r="FG28" s="1325"/>
      <c r="FH28" s="1325"/>
      <c r="FI28" s="1325"/>
      <c r="FJ28" s="1325"/>
      <c r="FK28" s="1325"/>
      <c r="FL28" s="1325"/>
      <c r="FM28" s="1325"/>
      <c r="FN28" s="1325"/>
      <c r="FO28" s="1325"/>
      <c r="FP28" s="1325"/>
      <c r="FQ28" s="1325"/>
      <c r="FR28" s="1325"/>
      <c r="FS28" s="1325"/>
      <c r="FT28" s="1325"/>
      <c r="FU28" s="1325"/>
      <c r="FV28" s="1325"/>
      <c r="FW28" s="1325"/>
      <c r="FX28" s="1325"/>
      <c r="FY28" s="1325"/>
      <c r="FZ28" s="1325"/>
      <c r="GA28" s="1325"/>
      <c r="GB28" s="1325"/>
      <c r="GC28" s="1325"/>
      <c r="GD28" s="1325"/>
      <c r="GE28" s="1325"/>
      <c r="GF28" s="1325"/>
      <c r="GG28" s="1325"/>
      <c r="GH28" s="1325"/>
      <c r="GI28" s="1325"/>
      <c r="GJ28" s="1325"/>
      <c r="GK28" s="1325"/>
      <c r="GL28" s="1325"/>
      <c r="GM28" s="1325"/>
      <c r="GN28" s="1325"/>
      <c r="GO28" s="1325"/>
      <c r="GP28" s="1325"/>
      <c r="GQ28" s="1325"/>
      <c r="GR28" s="1325"/>
      <c r="GS28" s="1325"/>
      <c r="GT28" s="1325"/>
      <c r="GU28" s="1325"/>
      <c r="GV28" s="1325"/>
      <c r="GW28" s="1325"/>
      <c r="GX28" s="1325"/>
      <c r="GY28" s="1325"/>
      <c r="GZ28" s="1325"/>
      <c r="HA28" s="1325"/>
      <c r="HB28" s="1325"/>
      <c r="HC28" s="1325"/>
      <c r="HD28" s="1325"/>
      <c r="HE28" s="1325"/>
      <c r="HF28" s="1325"/>
      <c r="HG28" s="1325"/>
      <c r="HH28" s="1325"/>
      <c r="HI28" s="1325"/>
      <c r="HJ28" s="1325"/>
      <c r="HK28" s="1325"/>
      <c r="HL28" s="1325"/>
      <c r="HM28" s="1325"/>
      <c r="HN28" s="1325"/>
      <c r="HO28" s="1325"/>
      <c r="HP28" s="1325"/>
      <c r="HQ28" s="1325"/>
      <c r="HR28" s="1325"/>
      <c r="HS28" s="1325"/>
      <c r="HT28" s="1325"/>
      <c r="HU28" s="1325"/>
      <c r="HV28" s="1325"/>
      <c r="HW28" s="1325"/>
      <c r="HX28" s="1325"/>
      <c r="HY28" s="1325"/>
      <c r="HZ28" s="1325"/>
      <c r="IA28" s="1325"/>
      <c r="IB28" s="1325"/>
      <c r="IC28" s="1325"/>
      <c r="ID28" s="1325"/>
      <c r="IE28" s="1325"/>
      <c r="IF28" s="1325"/>
      <c r="IG28" s="1325"/>
      <c r="IH28" s="1325"/>
      <c r="II28" s="1325"/>
      <c r="IJ28" s="1325"/>
      <c r="IK28" s="1325"/>
      <c r="IL28" s="1325"/>
      <c r="IM28" s="1325"/>
      <c r="IN28" s="1325"/>
      <c r="IO28" s="1325"/>
      <c r="IP28" s="1325"/>
      <c r="IQ28" s="1325"/>
      <c r="IR28" s="1325"/>
      <c r="IS28" s="1325"/>
      <c r="IT28" s="1325"/>
      <c r="IU28" s="1325"/>
      <c r="IV28" s="1325"/>
    </row>
    <row r="29" spans="1:256" ht="15.75">
      <c r="A29" s="1365" t="s">
        <v>801</v>
      </c>
      <c r="B29" s="1366" t="s">
        <v>680</v>
      </c>
      <c r="C29" s="1367"/>
      <c r="D29" s="1367"/>
      <c r="E29" s="1325"/>
      <c r="F29" s="1325"/>
      <c r="G29" s="1325"/>
      <c r="H29" s="1325"/>
      <c r="I29" s="1325"/>
      <c r="J29" s="1325"/>
      <c r="K29" s="1325"/>
      <c r="L29" s="1325"/>
      <c r="M29" s="1325"/>
      <c r="N29" s="1325"/>
      <c r="O29" s="1325"/>
      <c r="P29" s="1325"/>
      <c r="Q29" s="1325"/>
      <c r="R29" s="1325"/>
      <c r="S29" s="1325"/>
      <c r="T29" s="1325"/>
      <c r="U29" s="1325"/>
      <c r="V29" s="1325"/>
      <c r="W29" s="1325"/>
      <c r="X29" s="1325"/>
      <c r="Y29" s="1325"/>
      <c r="Z29" s="1325"/>
      <c r="AA29" s="1325"/>
      <c r="AB29" s="1325"/>
      <c r="AC29" s="1325"/>
      <c r="AD29" s="1325"/>
      <c r="AE29" s="1325"/>
      <c r="AF29" s="1325"/>
      <c r="AG29" s="1325"/>
      <c r="AH29" s="1325"/>
      <c r="AI29" s="1325"/>
      <c r="AJ29" s="1325"/>
      <c r="AK29" s="1325"/>
      <c r="AL29" s="1325"/>
      <c r="AM29" s="1325"/>
      <c r="AN29" s="1325"/>
      <c r="AO29" s="1325"/>
      <c r="AP29" s="1325"/>
      <c r="AQ29" s="1325"/>
      <c r="AR29" s="1325"/>
      <c r="AS29" s="1325"/>
      <c r="AT29" s="1325"/>
      <c r="AU29" s="1325"/>
      <c r="AV29" s="1325"/>
      <c r="AW29" s="1325"/>
      <c r="AX29" s="1325"/>
      <c r="AY29" s="1325"/>
      <c r="AZ29" s="1325"/>
      <c r="BA29" s="1325"/>
      <c r="BB29" s="1325"/>
      <c r="BC29" s="1325"/>
      <c r="BD29" s="1325"/>
      <c r="BE29" s="1325"/>
      <c r="BF29" s="1325"/>
      <c r="BG29" s="1325"/>
      <c r="BH29" s="1325"/>
      <c r="BI29" s="1325"/>
      <c r="BJ29" s="1325"/>
      <c r="BK29" s="1325"/>
      <c r="BL29" s="1325"/>
      <c r="BM29" s="1325"/>
      <c r="BN29" s="1325"/>
      <c r="BO29" s="1325"/>
      <c r="BP29" s="1325"/>
      <c r="BQ29" s="1325"/>
      <c r="BR29" s="1325"/>
      <c r="BS29" s="1325"/>
      <c r="BT29" s="1325"/>
      <c r="BU29" s="1325"/>
      <c r="BV29" s="1325"/>
      <c r="BW29" s="1325"/>
      <c r="BX29" s="1325"/>
      <c r="BY29" s="1325"/>
      <c r="BZ29" s="1325"/>
      <c r="CA29" s="1325"/>
      <c r="CB29" s="1325"/>
      <c r="CC29" s="1325"/>
      <c r="CD29" s="1325"/>
      <c r="CE29" s="1325"/>
      <c r="CF29" s="1325"/>
      <c r="CG29" s="1325"/>
      <c r="CH29" s="1325"/>
      <c r="CI29" s="1325"/>
      <c r="CJ29" s="1325"/>
      <c r="CK29" s="1325"/>
      <c r="CL29" s="1325"/>
      <c r="CM29" s="1325"/>
      <c r="CN29" s="1325"/>
      <c r="CO29" s="1325"/>
      <c r="CP29" s="1325"/>
      <c r="CQ29" s="1325"/>
      <c r="CR29" s="1325"/>
      <c r="CS29" s="1325"/>
      <c r="CT29" s="1325"/>
      <c r="CU29" s="1325"/>
      <c r="CV29" s="1325"/>
      <c r="CW29" s="1325"/>
      <c r="CX29" s="1325"/>
      <c r="CY29" s="1325"/>
      <c r="CZ29" s="1325"/>
      <c r="DA29" s="1325"/>
      <c r="DB29" s="1325"/>
      <c r="DC29" s="1325"/>
      <c r="DD29" s="1325"/>
      <c r="DE29" s="1325"/>
      <c r="DF29" s="1325"/>
      <c r="DG29" s="1325"/>
      <c r="DH29" s="1325"/>
      <c r="DI29" s="1325"/>
      <c r="DJ29" s="1325"/>
      <c r="DK29" s="1325"/>
      <c r="DL29" s="1325"/>
      <c r="DM29" s="1325"/>
      <c r="DN29" s="1325"/>
      <c r="DO29" s="1325"/>
      <c r="DP29" s="1325"/>
      <c r="DQ29" s="1325"/>
      <c r="DR29" s="1325"/>
      <c r="DS29" s="1325"/>
      <c r="DT29" s="1325"/>
      <c r="DU29" s="1325"/>
      <c r="DV29" s="1325"/>
      <c r="DW29" s="1325"/>
      <c r="DX29" s="1325"/>
      <c r="DY29" s="1325"/>
      <c r="DZ29" s="1325"/>
      <c r="EA29" s="1325"/>
      <c r="EB29" s="1325"/>
      <c r="EC29" s="1325"/>
      <c r="ED29" s="1325"/>
      <c r="EE29" s="1325"/>
      <c r="EF29" s="1325"/>
      <c r="EG29" s="1325"/>
      <c r="EH29" s="1325"/>
      <c r="EI29" s="1325"/>
      <c r="EJ29" s="1325"/>
      <c r="EK29" s="1325"/>
      <c r="EL29" s="1325"/>
      <c r="EM29" s="1325"/>
      <c r="EN29" s="1325"/>
      <c r="EO29" s="1325"/>
      <c r="EP29" s="1325"/>
      <c r="EQ29" s="1325"/>
      <c r="ER29" s="1325"/>
      <c r="ES29" s="1325"/>
      <c r="ET29" s="1325"/>
      <c r="EU29" s="1325"/>
      <c r="EV29" s="1325"/>
      <c r="EW29" s="1325"/>
      <c r="EX29" s="1325"/>
      <c r="EY29" s="1325"/>
      <c r="EZ29" s="1325"/>
      <c r="FA29" s="1325"/>
      <c r="FB29" s="1325"/>
      <c r="FC29" s="1325"/>
      <c r="FD29" s="1325"/>
      <c r="FE29" s="1325"/>
      <c r="FF29" s="1325"/>
      <c r="FG29" s="1325"/>
      <c r="FH29" s="1325"/>
      <c r="FI29" s="1325"/>
      <c r="FJ29" s="1325"/>
      <c r="FK29" s="1325"/>
      <c r="FL29" s="1325"/>
      <c r="FM29" s="1325"/>
      <c r="FN29" s="1325"/>
      <c r="FO29" s="1325"/>
      <c r="FP29" s="1325"/>
      <c r="FQ29" s="1325"/>
      <c r="FR29" s="1325"/>
      <c r="FS29" s="1325"/>
      <c r="FT29" s="1325"/>
      <c r="FU29" s="1325"/>
      <c r="FV29" s="1325"/>
      <c r="FW29" s="1325"/>
      <c r="FX29" s="1325"/>
      <c r="FY29" s="1325"/>
      <c r="FZ29" s="1325"/>
      <c r="GA29" s="1325"/>
      <c r="GB29" s="1325"/>
      <c r="GC29" s="1325"/>
      <c r="GD29" s="1325"/>
      <c r="GE29" s="1325"/>
      <c r="GF29" s="1325"/>
      <c r="GG29" s="1325"/>
      <c r="GH29" s="1325"/>
      <c r="GI29" s="1325"/>
      <c r="GJ29" s="1325"/>
      <c r="GK29" s="1325"/>
      <c r="GL29" s="1325"/>
      <c r="GM29" s="1325"/>
      <c r="GN29" s="1325"/>
      <c r="GO29" s="1325"/>
      <c r="GP29" s="1325"/>
      <c r="GQ29" s="1325"/>
      <c r="GR29" s="1325"/>
      <c r="GS29" s="1325"/>
      <c r="GT29" s="1325"/>
      <c r="GU29" s="1325"/>
      <c r="GV29" s="1325"/>
      <c r="GW29" s="1325"/>
      <c r="GX29" s="1325"/>
      <c r="GY29" s="1325"/>
      <c r="GZ29" s="1325"/>
      <c r="HA29" s="1325"/>
      <c r="HB29" s="1325"/>
      <c r="HC29" s="1325"/>
      <c r="HD29" s="1325"/>
      <c r="HE29" s="1325"/>
      <c r="HF29" s="1325"/>
      <c r="HG29" s="1325"/>
      <c r="HH29" s="1325"/>
      <c r="HI29" s="1325"/>
      <c r="HJ29" s="1325"/>
      <c r="HK29" s="1325"/>
      <c r="HL29" s="1325"/>
      <c r="HM29" s="1325"/>
      <c r="HN29" s="1325"/>
      <c r="HO29" s="1325"/>
      <c r="HP29" s="1325"/>
      <c r="HQ29" s="1325"/>
      <c r="HR29" s="1325"/>
      <c r="HS29" s="1325"/>
      <c r="HT29" s="1325"/>
      <c r="HU29" s="1325"/>
      <c r="HV29" s="1325"/>
      <c r="HW29" s="1325"/>
      <c r="HX29" s="1325"/>
      <c r="HY29" s="1325"/>
      <c r="HZ29" s="1325"/>
      <c r="IA29" s="1325"/>
      <c r="IB29" s="1325"/>
      <c r="IC29" s="1325"/>
      <c r="ID29" s="1325"/>
      <c r="IE29" s="1325"/>
      <c r="IF29" s="1325"/>
      <c r="IG29" s="1325"/>
      <c r="IH29" s="1325"/>
      <c r="II29" s="1325"/>
      <c r="IJ29" s="1325"/>
      <c r="IK29" s="1325"/>
      <c r="IL29" s="1325"/>
      <c r="IM29" s="1325"/>
      <c r="IN29" s="1325"/>
      <c r="IO29" s="1325"/>
      <c r="IP29" s="1325"/>
      <c r="IQ29" s="1325"/>
      <c r="IR29" s="1325"/>
      <c r="IS29" s="1325"/>
      <c r="IT29" s="1325"/>
      <c r="IU29" s="1325"/>
      <c r="IV29" s="1325"/>
    </row>
    <row r="30" spans="1:256" ht="31.5">
      <c r="A30" s="1365" t="s">
        <v>802</v>
      </c>
      <c r="B30" s="1366" t="s">
        <v>803</v>
      </c>
      <c r="C30" s="1367"/>
      <c r="D30" s="1367"/>
      <c r="E30" s="1325"/>
      <c r="F30" s="1325"/>
      <c r="G30" s="1325"/>
      <c r="H30" s="1325"/>
      <c r="I30" s="1325"/>
      <c r="J30" s="1325"/>
      <c r="K30" s="1325"/>
      <c r="L30" s="1325"/>
      <c r="M30" s="1325"/>
      <c r="N30" s="1325"/>
      <c r="O30" s="1325"/>
      <c r="P30" s="1325"/>
      <c r="Q30" s="1325"/>
      <c r="R30" s="1325"/>
      <c r="S30" s="1325"/>
      <c r="T30" s="1325"/>
      <c r="U30" s="1325"/>
      <c r="V30" s="1325"/>
      <c r="W30" s="1325"/>
      <c r="X30" s="1325"/>
      <c r="Y30" s="1325"/>
      <c r="Z30" s="1325"/>
      <c r="AA30" s="1325"/>
      <c r="AB30" s="1325"/>
      <c r="AC30" s="1325"/>
      <c r="AD30" s="1325"/>
      <c r="AE30" s="1325"/>
      <c r="AF30" s="1325"/>
      <c r="AG30" s="1325"/>
      <c r="AH30" s="1325"/>
      <c r="AI30" s="1325"/>
      <c r="AJ30" s="1325"/>
      <c r="AK30" s="1325"/>
      <c r="AL30" s="1325"/>
      <c r="AM30" s="1325"/>
      <c r="AN30" s="1325"/>
      <c r="AO30" s="1325"/>
      <c r="AP30" s="1325"/>
      <c r="AQ30" s="1325"/>
      <c r="AR30" s="1325"/>
      <c r="AS30" s="1325"/>
      <c r="AT30" s="1325"/>
      <c r="AU30" s="1325"/>
      <c r="AV30" s="1325"/>
      <c r="AW30" s="1325"/>
      <c r="AX30" s="1325"/>
      <c r="AY30" s="1325"/>
      <c r="AZ30" s="1325"/>
      <c r="BA30" s="1325"/>
      <c r="BB30" s="1325"/>
      <c r="BC30" s="1325"/>
      <c r="BD30" s="1325"/>
      <c r="BE30" s="1325"/>
      <c r="BF30" s="1325"/>
      <c r="BG30" s="1325"/>
      <c r="BH30" s="1325"/>
      <c r="BI30" s="1325"/>
      <c r="BJ30" s="1325"/>
      <c r="BK30" s="1325"/>
      <c r="BL30" s="1325"/>
      <c r="BM30" s="1325"/>
      <c r="BN30" s="1325"/>
      <c r="BO30" s="1325"/>
      <c r="BP30" s="1325"/>
      <c r="BQ30" s="1325"/>
      <c r="BR30" s="1325"/>
      <c r="BS30" s="1325"/>
      <c r="BT30" s="1325"/>
      <c r="BU30" s="1325"/>
      <c r="BV30" s="1325"/>
      <c r="BW30" s="1325"/>
      <c r="BX30" s="1325"/>
      <c r="BY30" s="1325"/>
      <c r="BZ30" s="1325"/>
      <c r="CA30" s="1325"/>
      <c r="CB30" s="1325"/>
      <c r="CC30" s="1325"/>
      <c r="CD30" s="1325"/>
      <c r="CE30" s="1325"/>
      <c r="CF30" s="1325"/>
      <c r="CG30" s="1325"/>
      <c r="CH30" s="1325"/>
      <c r="CI30" s="1325"/>
      <c r="CJ30" s="1325"/>
      <c r="CK30" s="1325"/>
      <c r="CL30" s="1325"/>
      <c r="CM30" s="1325"/>
      <c r="CN30" s="1325"/>
      <c r="CO30" s="1325"/>
      <c r="CP30" s="1325"/>
      <c r="CQ30" s="1325"/>
      <c r="CR30" s="1325"/>
      <c r="CS30" s="1325"/>
      <c r="CT30" s="1325"/>
      <c r="CU30" s="1325"/>
      <c r="CV30" s="1325"/>
      <c r="CW30" s="1325"/>
      <c r="CX30" s="1325"/>
      <c r="CY30" s="1325"/>
      <c r="CZ30" s="1325"/>
      <c r="DA30" s="1325"/>
      <c r="DB30" s="1325"/>
      <c r="DC30" s="1325"/>
      <c r="DD30" s="1325"/>
      <c r="DE30" s="1325"/>
      <c r="DF30" s="1325"/>
      <c r="DG30" s="1325"/>
      <c r="DH30" s="1325"/>
      <c r="DI30" s="1325"/>
      <c r="DJ30" s="1325"/>
      <c r="DK30" s="1325"/>
      <c r="DL30" s="1325"/>
      <c r="DM30" s="1325"/>
      <c r="DN30" s="1325"/>
      <c r="DO30" s="1325"/>
      <c r="DP30" s="1325"/>
      <c r="DQ30" s="1325"/>
      <c r="DR30" s="1325"/>
      <c r="DS30" s="1325"/>
      <c r="DT30" s="1325"/>
      <c r="DU30" s="1325"/>
      <c r="DV30" s="1325"/>
      <c r="DW30" s="1325"/>
      <c r="DX30" s="1325"/>
      <c r="DY30" s="1325"/>
      <c r="DZ30" s="1325"/>
      <c r="EA30" s="1325"/>
      <c r="EB30" s="1325"/>
      <c r="EC30" s="1325"/>
      <c r="ED30" s="1325"/>
      <c r="EE30" s="1325"/>
      <c r="EF30" s="1325"/>
      <c r="EG30" s="1325"/>
      <c r="EH30" s="1325"/>
      <c r="EI30" s="1325"/>
      <c r="EJ30" s="1325"/>
      <c r="EK30" s="1325"/>
      <c r="EL30" s="1325"/>
      <c r="EM30" s="1325"/>
      <c r="EN30" s="1325"/>
      <c r="EO30" s="1325"/>
      <c r="EP30" s="1325"/>
      <c r="EQ30" s="1325"/>
      <c r="ER30" s="1325"/>
      <c r="ES30" s="1325"/>
      <c r="ET30" s="1325"/>
      <c r="EU30" s="1325"/>
      <c r="EV30" s="1325"/>
      <c r="EW30" s="1325"/>
      <c r="EX30" s="1325"/>
      <c r="EY30" s="1325"/>
      <c r="EZ30" s="1325"/>
      <c r="FA30" s="1325"/>
      <c r="FB30" s="1325"/>
      <c r="FC30" s="1325"/>
      <c r="FD30" s="1325"/>
      <c r="FE30" s="1325"/>
      <c r="FF30" s="1325"/>
      <c r="FG30" s="1325"/>
      <c r="FH30" s="1325"/>
      <c r="FI30" s="1325"/>
      <c r="FJ30" s="1325"/>
      <c r="FK30" s="1325"/>
      <c r="FL30" s="1325"/>
      <c r="FM30" s="1325"/>
      <c r="FN30" s="1325"/>
      <c r="FO30" s="1325"/>
      <c r="FP30" s="1325"/>
      <c r="FQ30" s="1325"/>
      <c r="FR30" s="1325"/>
      <c r="FS30" s="1325"/>
      <c r="FT30" s="1325"/>
      <c r="FU30" s="1325"/>
      <c r="FV30" s="1325"/>
      <c r="FW30" s="1325"/>
      <c r="FX30" s="1325"/>
      <c r="FY30" s="1325"/>
      <c r="FZ30" s="1325"/>
      <c r="GA30" s="1325"/>
      <c r="GB30" s="1325"/>
      <c r="GC30" s="1325"/>
      <c r="GD30" s="1325"/>
      <c r="GE30" s="1325"/>
      <c r="GF30" s="1325"/>
      <c r="GG30" s="1325"/>
      <c r="GH30" s="1325"/>
      <c r="GI30" s="1325"/>
      <c r="GJ30" s="1325"/>
      <c r="GK30" s="1325"/>
      <c r="GL30" s="1325"/>
      <c r="GM30" s="1325"/>
      <c r="GN30" s="1325"/>
      <c r="GO30" s="1325"/>
      <c r="GP30" s="1325"/>
      <c r="GQ30" s="1325"/>
      <c r="GR30" s="1325"/>
      <c r="GS30" s="1325"/>
      <c r="GT30" s="1325"/>
      <c r="GU30" s="1325"/>
      <c r="GV30" s="1325"/>
      <c r="GW30" s="1325"/>
      <c r="GX30" s="1325"/>
      <c r="GY30" s="1325"/>
      <c r="GZ30" s="1325"/>
      <c r="HA30" s="1325"/>
      <c r="HB30" s="1325"/>
      <c r="HC30" s="1325"/>
      <c r="HD30" s="1325"/>
      <c r="HE30" s="1325"/>
      <c r="HF30" s="1325"/>
      <c r="HG30" s="1325"/>
      <c r="HH30" s="1325"/>
      <c r="HI30" s="1325"/>
      <c r="HJ30" s="1325"/>
      <c r="HK30" s="1325"/>
      <c r="HL30" s="1325"/>
      <c r="HM30" s="1325"/>
      <c r="HN30" s="1325"/>
      <c r="HO30" s="1325"/>
      <c r="HP30" s="1325"/>
      <c r="HQ30" s="1325"/>
      <c r="HR30" s="1325"/>
      <c r="HS30" s="1325"/>
      <c r="HT30" s="1325"/>
      <c r="HU30" s="1325"/>
      <c r="HV30" s="1325"/>
      <c r="HW30" s="1325"/>
      <c r="HX30" s="1325"/>
      <c r="HY30" s="1325"/>
      <c r="HZ30" s="1325"/>
      <c r="IA30" s="1325"/>
      <c r="IB30" s="1325"/>
      <c r="IC30" s="1325"/>
      <c r="ID30" s="1325"/>
      <c r="IE30" s="1325"/>
      <c r="IF30" s="1325"/>
      <c r="IG30" s="1325"/>
      <c r="IH30" s="1325"/>
      <c r="II30" s="1325"/>
      <c r="IJ30" s="1325"/>
      <c r="IK30" s="1325"/>
      <c r="IL30" s="1325"/>
      <c r="IM30" s="1325"/>
      <c r="IN30" s="1325"/>
      <c r="IO30" s="1325"/>
      <c r="IP30" s="1325"/>
      <c r="IQ30" s="1325"/>
      <c r="IR30" s="1325"/>
      <c r="IS30" s="1325"/>
      <c r="IT30" s="1325"/>
      <c r="IU30" s="1325"/>
      <c r="IV30" s="1325"/>
    </row>
    <row r="31" spans="1:256" ht="15.75">
      <c r="A31" s="1365" t="s">
        <v>804</v>
      </c>
      <c r="B31" s="1366" t="s">
        <v>805</v>
      </c>
      <c r="C31" s="1367"/>
      <c r="D31" s="1367"/>
      <c r="E31" s="1325"/>
      <c r="F31" s="1325"/>
      <c r="G31" s="1325"/>
      <c r="H31" s="1325"/>
      <c r="I31" s="1325"/>
      <c r="J31" s="1325"/>
      <c r="K31" s="1325"/>
      <c r="L31" s="1325"/>
      <c r="M31" s="1325"/>
      <c r="N31" s="1325"/>
      <c r="O31" s="1325"/>
      <c r="P31" s="1325"/>
      <c r="Q31" s="1325"/>
      <c r="R31" s="1325"/>
      <c r="S31" s="1325"/>
      <c r="T31" s="1325"/>
      <c r="U31" s="1325"/>
      <c r="V31" s="1325"/>
      <c r="W31" s="1325"/>
      <c r="X31" s="1325"/>
      <c r="Y31" s="1325"/>
      <c r="Z31" s="1325"/>
      <c r="AA31" s="1325"/>
      <c r="AB31" s="1325"/>
      <c r="AC31" s="1325"/>
      <c r="AD31" s="1325"/>
      <c r="AE31" s="1325"/>
      <c r="AF31" s="1325"/>
      <c r="AG31" s="1325"/>
      <c r="AH31" s="1325"/>
      <c r="AI31" s="1325"/>
      <c r="AJ31" s="1325"/>
      <c r="AK31" s="1325"/>
      <c r="AL31" s="1325"/>
      <c r="AM31" s="1325"/>
      <c r="AN31" s="1325"/>
      <c r="AO31" s="1325"/>
      <c r="AP31" s="1325"/>
      <c r="AQ31" s="1325"/>
      <c r="AR31" s="1325"/>
      <c r="AS31" s="1325"/>
      <c r="AT31" s="1325"/>
      <c r="AU31" s="1325"/>
      <c r="AV31" s="1325"/>
      <c r="AW31" s="1325"/>
      <c r="AX31" s="1325"/>
      <c r="AY31" s="1325"/>
      <c r="AZ31" s="1325"/>
      <c r="BA31" s="1325"/>
      <c r="BB31" s="1325"/>
      <c r="BC31" s="1325"/>
      <c r="BD31" s="1325"/>
      <c r="BE31" s="1325"/>
      <c r="BF31" s="1325"/>
      <c r="BG31" s="1325"/>
      <c r="BH31" s="1325"/>
      <c r="BI31" s="1325"/>
      <c r="BJ31" s="1325"/>
      <c r="BK31" s="1325"/>
      <c r="BL31" s="1325"/>
      <c r="BM31" s="1325"/>
      <c r="BN31" s="1325"/>
      <c r="BO31" s="1325"/>
      <c r="BP31" s="1325"/>
      <c r="BQ31" s="1325"/>
      <c r="BR31" s="1325"/>
      <c r="BS31" s="1325"/>
      <c r="BT31" s="1325"/>
      <c r="BU31" s="1325"/>
      <c r="BV31" s="1325"/>
      <c r="BW31" s="1325"/>
      <c r="BX31" s="1325"/>
      <c r="BY31" s="1325"/>
      <c r="BZ31" s="1325"/>
      <c r="CA31" s="1325"/>
      <c r="CB31" s="1325"/>
      <c r="CC31" s="1325"/>
      <c r="CD31" s="1325"/>
      <c r="CE31" s="1325"/>
      <c r="CF31" s="1325"/>
      <c r="CG31" s="1325"/>
      <c r="CH31" s="1325"/>
      <c r="CI31" s="1325"/>
      <c r="CJ31" s="1325"/>
      <c r="CK31" s="1325"/>
      <c r="CL31" s="1325"/>
      <c r="CM31" s="1325"/>
      <c r="CN31" s="1325"/>
      <c r="CO31" s="1325"/>
      <c r="CP31" s="1325"/>
      <c r="CQ31" s="1325"/>
      <c r="CR31" s="1325"/>
      <c r="CS31" s="1325"/>
      <c r="CT31" s="1325"/>
      <c r="CU31" s="1325"/>
      <c r="CV31" s="1325"/>
      <c r="CW31" s="1325"/>
      <c r="CX31" s="1325"/>
      <c r="CY31" s="1325"/>
      <c r="CZ31" s="1325"/>
      <c r="DA31" s="1325"/>
      <c r="DB31" s="1325"/>
      <c r="DC31" s="1325"/>
      <c r="DD31" s="1325"/>
      <c r="DE31" s="1325"/>
      <c r="DF31" s="1325"/>
      <c r="DG31" s="1325"/>
      <c r="DH31" s="1325"/>
      <c r="DI31" s="1325"/>
      <c r="DJ31" s="1325"/>
      <c r="DK31" s="1325"/>
      <c r="DL31" s="1325"/>
      <c r="DM31" s="1325"/>
      <c r="DN31" s="1325"/>
      <c r="DO31" s="1325"/>
      <c r="DP31" s="1325"/>
      <c r="DQ31" s="1325"/>
      <c r="DR31" s="1325"/>
      <c r="DS31" s="1325"/>
      <c r="DT31" s="1325"/>
      <c r="DU31" s="1325"/>
      <c r="DV31" s="1325"/>
      <c r="DW31" s="1325"/>
      <c r="DX31" s="1325"/>
      <c r="DY31" s="1325"/>
      <c r="DZ31" s="1325"/>
      <c r="EA31" s="1325"/>
      <c r="EB31" s="1325"/>
      <c r="EC31" s="1325"/>
      <c r="ED31" s="1325"/>
      <c r="EE31" s="1325"/>
      <c r="EF31" s="1325"/>
      <c r="EG31" s="1325"/>
      <c r="EH31" s="1325"/>
      <c r="EI31" s="1325"/>
      <c r="EJ31" s="1325"/>
      <c r="EK31" s="1325"/>
      <c r="EL31" s="1325"/>
      <c r="EM31" s="1325"/>
      <c r="EN31" s="1325"/>
      <c r="EO31" s="1325"/>
      <c r="EP31" s="1325"/>
      <c r="EQ31" s="1325"/>
      <c r="ER31" s="1325"/>
      <c r="ES31" s="1325"/>
      <c r="ET31" s="1325"/>
      <c r="EU31" s="1325"/>
      <c r="EV31" s="1325"/>
      <c r="EW31" s="1325"/>
      <c r="EX31" s="1325"/>
      <c r="EY31" s="1325"/>
      <c r="EZ31" s="1325"/>
      <c r="FA31" s="1325"/>
      <c r="FB31" s="1325"/>
      <c r="FC31" s="1325"/>
      <c r="FD31" s="1325"/>
      <c r="FE31" s="1325"/>
      <c r="FF31" s="1325"/>
      <c r="FG31" s="1325"/>
      <c r="FH31" s="1325"/>
      <c r="FI31" s="1325"/>
      <c r="FJ31" s="1325"/>
      <c r="FK31" s="1325"/>
      <c r="FL31" s="1325"/>
      <c r="FM31" s="1325"/>
      <c r="FN31" s="1325"/>
      <c r="FO31" s="1325"/>
      <c r="FP31" s="1325"/>
      <c r="FQ31" s="1325"/>
      <c r="FR31" s="1325"/>
      <c r="FS31" s="1325"/>
      <c r="FT31" s="1325"/>
      <c r="FU31" s="1325"/>
      <c r="FV31" s="1325"/>
      <c r="FW31" s="1325"/>
      <c r="FX31" s="1325"/>
      <c r="FY31" s="1325"/>
      <c r="FZ31" s="1325"/>
      <c r="GA31" s="1325"/>
      <c r="GB31" s="1325"/>
      <c r="GC31" s="1325"/>
      <c r="GD31" s="1325"/>
      <c r="GE31" s="1325"/>
      <c r="GF31" s="1325"/>
      <c r="GG31" s="1325"/>
      <c r="GH31" s="1325"/>
      <c r="GI31" s="1325"/>
      <c r="GJ31" s="1325"/>
      <c r="GK31" s="1325"/>
      <c r="GL31" s="1325"/>
      <c r="GM31" s="1325"/>
      <c r="GN31" s="1325"/>
      <c r="GO31" s="1325"/>
      <c r="GP31" s="1325"/>
      <c r="GQ31" s="1325"/>
      <c r="GR31" s="1325"/>
      <c r="GS31" s="1325"/>
      <c r="GT31" s="1325"/>
      <c r="GU31" s="1325"/>
      <c r="GV31" s="1325"/>
      <c r="GW31" s="1325"/>
      <c r="GX31" s="1325"/>
      <c r="GY31" s="1325"/>
      <c r="GZ31" s="1325"/>
      <c r="HA31" s="1325"/>
      <c r="HB31" s="1325"/>
      <c r="HC31" s="1325"/>
      <c r="HD31" s="1325"/>
      <c r="HE31" s="1325"/>
      <c r="HF31" s="1325"/>
      <c r="HG31" s="1325"/>
      <c r="HH31" s="1325"/>
      <c r="HI31" s="1325"/>
      <c r="HJ31" s="1325"/>
      <c r="HK31" s="1325"/>
      <c r="HL31" s="1325"/>
      <c r="HM31" s="1325"/>
      <c r="HN31" s="1325"/>
      <c r="HO31" s="1325"/>
      <c r="HP31" s="1325"/>
      <c r="HQ31" s="1325"/>
      <c r="HR31" s="1325"/>
      <c r="HS31" s="1325"/>
      <c r="HT31" s="1325"/>
      <c r="HU31" s="1325"/>
      <c r="HV31" s="1325"/>
      <c r="HW31" s="1325"/>
      <c r="HX31" s="1325"/>
      <c r="HY31" s="1325"/>
      <c r="HZ31" s="1325"/>
      <c r="IA31" s="1325"/>
      <c r="IB31" s="1325"/>
      <c r="IC31" s="1325"/>
      <c r="ID31" s="1325"/>
      <c r="IE31" s="1325"/>
      <c r="IF31" s="1325"/>
      <c r="IG31" s="1325"/>
      <c r="IH31" s="1325"/>
      <c r="II31" s="1325"/>
      <c r="IJ31" s="1325"/>
      <c r="IK31" s="1325"/>
      <c r="IL31" s="1325"/>
      <c r="IM31" s="1325"/>
      <c r="IN31" s="1325"/>
      <c r="IO31" s="1325"/>
      <c r="IP31" s="1325"/>
      <c r="IQ31" s="1325"/>
      <c r="IR31" s="1325"/>
      <c r="IS31" s="1325"/>
      <c r="IT31" s="1325"/>
      <c r="IU31" s="1325"/>
      <c r="IV31" s="1325"/>
    </row>
    <row r="32" spans="1:256" ht="15.75">
      <c r="A32" s="1365" t="s">
        <v>806</v>
      </c>
      <c r="B32" s="1366" t="s">
        <v>807</v>
      </c>
      <c r="C32" s="1367"/>
      <c r="D32" s="1367"/>
      <c r="E32" s="1325"/>
      <c r="F32" s="1325"/>
      <c r="G32" s="1325"/>
      <c r="H32" s="1325"/>
      <c r="I32" s="1325"/>
      <c r="J32" s="1325"/>
      <c r="K32" s="1325"/>
      <c r="L32" s="1325"/>
      <c r="M32" s="1325"/>
      <c r="N32" s="1325"/>
      <c r="O32" s="1325"/>
      <c r="P32" s="1325"/>
      <c r="Q32" s="1325"/>
      <c r="R32" s="1325"/>
      <c r="S32" s="1325"/>
      <c r="T32" s="1325"/>
      <c r="U32" s="1325"/>
      <c r="V32" s="1325"/>
      <c r="W32" s="1325"/>
      <c r="X32" s="1325"/>
      <c r="Y32" s="1325"/>
      <c r="Z32" s="1325"/>
      <c r="AA32" s="1325"/>
      <c r="AB32" s="1325"/>
      <c r="AC32" s="1325"/>
      <c r="AD32" s="1325"/>
      <c r="AE32" s="1325"/>
      <c r="AF32" s="1325"/>
      <c r="AG32" s="1325"/>
      <c r="AH32" s="1325"/>
      <c r="AI32" s="1325"/>
      <c r="AJ32" s="1325"/>
      <c r="AK32" s="1325"/>
      <c r="AL32" s="1325"/>
      <c r="AM32" s="1325"/>
      <c r="AN32" s="1325"/>
      <c r="AO32" s="1325"/>
      <c r="AP32" s="1325"/>
      <c r="AQ32" s="1325"/>
      <c r="AR32" s="1325"/>
      <c r="AS32" s="1325"/>
      <c r="AT32" s="1325"/>
      <c r="AU32" s="1325"/>
      <c r="AV32" s="1325"/>
      <c r="AW32" s="1325"/>
      <c r="AX32" s="1325"/>
      <c r="AY32" s="1325"/>
      <c r="AZ32" s="1325"/>
      <c r="BA32" s="1325"/>
      <c r="BB32" s="1325"/>
      <c r="BC32" s="1325"/>
      <c r="BD32" s="1325"/>
      <c r="BE32" s="1325"/>
      <c r="BF32" s="1325"/>
      <c r="BG32" s="1325"/>
      <c r="BH32" s="1325"/>
      <c r="BI32" s="1325"/>
      <c r="BJ32" s="1325"/>
      <c r="BK32" s="1325"/>
      <c r="BL32" s="1325"/>
      <c r="BM32" s="1325"/>
      <c r="BN32" s="1325"/>
      <c r="BO32" s="1325"/>
      <c r="BP32" s="1325"/>
      <c r="BQ32" s="1325"/>
      <c r="BR32" s="1325"/>
      <c r="BS32" s="1325"/>
      <c r="BT32" s="1325"/>
      <c r="BU32" s="1325"/>
      <c r="BV32" s="1325"/>
      <c r="BW32" s="1325"/>
      <c r="BX32" s="1325"/>
      <c r="BY32" s="1325"/>
      <c r="BZ32" s="1325"/>
      <c r="CA32" s="1325"/>
      <c r="CB32" s="1325"/>
      <c r="CC32" s="1325"/>
      <c r="CD32" s="1325"/>
      <c r="CE32" s="1325"/>
      <c r="CF32" s="1325"/>
      <c r="CG32" s="1325"/>
      <c r="CH32" s="1325"/>
      <c r="CI32" s="1325"/>
      <c r="CJ32" s="1325"/>
      <c r="CK32" s="1325"/>
      <c r="CL32" s="1325"/>
      <c r="CM32" s="1325"/>
      <c r="CN32" s="1325"/>
      <c r="CO32" s="1325"/>
      <c r="CP32" s="1325"/>
      <c r="CQ32" s="1325"/>
      <c r="CR32" s="1325"/>
      <c r="CS32" s="1325"/>
      <c r="CT32" s="1325"/>
      <c r="CU32" s="1325"/>
      <c r="CV32" s="1325"/>
      <c r="CW32" s="1325"/>
      <c r="CX32" s="1325"/>
      <c r="CY32" s="1325"/>
      <c r="CZ32" s="1325"/>
      <c r="DA32" s="1325"/>
      <c r="DB32" s="1325"/>
      <c r="DC32" s="1325"/>
      <c r="DD32" s="1325"/>
      <c r="DE32" s="1325"/>
      <c r="DF32" s="1325"/>
      <c r="DG32" s="1325"/>
      <c r="DH32" s="1325"/>
      <c r="DI32" s="1325"/>
      <c r="DJ32" s="1325"/>
      <c r="DK32" s="1325"/>
      <c r="DL32" s="1325"/>
      <c r="DM32" s="1325"/>
      <c r="DN32" s="1325"/>
      <c r="DO32" s="1325"/>
      <c r="DP32" s="1325"/>
      <c r="DQ32" s="1325"/>
      <c r="DR32" s="1325"/>
      <c r="DS32" s="1325"/>
      <c r="DT32" s="1325"/>
      <c r="DU32" s="1325"/>
      <c r="DV32" s="1325"/>
      <c r="DW32" s="1325"/>
      <c r="DX32" s="1325"/>
      <c r="DY32" s="1325"/>
      <c r="DZ32" s="1325"/>
      <c r="EA32" s="1325"/>
      <c r="EB32" s="1325"/>
      <c r="EC32" s="1325"/>
      <c r="ED32" s="1325"/>
      <c r="EE32" s="1325"/>
      <c r="EF32" s="1325"/>
      <c r="EG32" s="1325"/>
      <c r="EH32" s="1325"/>
      <c r="EI32" s="1325"/>
      <c r="EJ32" s="1325"/>
      <c r="EK32" s="1325"/>
      <c r="EL32" s="1325"/>
      <c r="EM32" s="1325"/>
      <c r="EN32" s="1325"/>
      <c r="EO32" s="1325"/>
      <c r="EP32" s="1325"/>
      <c r="EQ32" s="1325"/>
      <c r="ER32" s="1325"/>
      <c r="ES32" s="1325"/>
      <c r="ET32" s="1325"/>
      <c r="EU32" s="1325"/>
      <c r="EV32" s="1325"/>
      <c r="EW32" s="1325"/>
      <c r="EX32" s="1325"/>
      <c r="EY32" s="1325"/>
      <c r="EZ32" s="1325"/>
      <c r="FA32" s="1325"/>
      <c r="FB32" s="1325"/>
      <c r="FC32" s="1325"/>
      <c r="FD32" s="1325"/>
      <c r="FE32" s="1325"/>
      <c r="FF32" s="1325"/>
      <c r="FG32" s="1325"/>
      <c r="FH32" s="1325"/>
      <c r="FI32" s="1325"/>
      <c r="FJ32" s="1325"/>
      <c r="FK32" s="1325"/>
      <c r="FL32" s="1325"/>
      <c r="FM32" s="1325"/>
      <c r="FN32" s="1325"/>
      <c r="FO32" s="1325"/>
      <c r="FP32" s="1325"/>
      <c r="FQ32" s="1325"/>
      <c r="FR32" s="1325"/>
      <c r="FS32" s="1325"/>
      <c r="FT32" s="1325"/>
      <c r="FU32" s="1325"/>
      <c r="FV32" s="1325"/>
      <c r="FW32" s="1325"/>
      <c r="FX32" s="1325"/>
      <c r="FY32" s="1325"/>
      <c r="FZ32" s="1325"/>
      <c r="GA32" s="1325"/>
      <c r="GB32" s="1325"/>
      <c r="GC32" s="1325"/>
      <c r="GD32" s="1325"/>
      <c r="GE32" s="1325"/>
      <c r="GF32" s="1325"/>
      <c r="GG32" s="1325"/>
      <c r="GH32" s="1325"/>
      <c r="GI32" s="1325"/>
      <c r="GJ32" s="1325"/>
      <c r="GK32" s="1325"/>
      <c r="GL32" s="1325"/>
      <c r="GM32" s="1325"/>
      <c r="GN32" s="1325"/>
      <c r="GO32" s="1325"/>
      <c r="GP32" s="1325"/>
      <c r="GQ32" s="1325"/>
      <c r="GR32" s="1325"/>
      <c r="GS32" s="1325"/>
      <c r="GT32" s="1325"/>
      <c r="GU32" s="1325"/>
      <c r="GV32" s="1325"/>
      <c r="GW32" s="1325"/>
      <c r="GX32" s="1325"/>
      <c r="GY32" s="1325"/>
      <c r="GZ32" s="1325"/>
      <c r="HA32" s="1325"/>
      <c r="HB32" s="1325"/>
      <c r="HC32" s="1325"/>
      <c r="HD32" s="1325"/>
      <c r="HE32" s="1325"/>
      <c r="HF32" s="1325"/>
      <c r="HG32" s="1325"/>
      <c r="HH32" s="1325"/>
      <c r="HI32" s="1325"/>
      <c r="HJ32" s="1325"/>
      <c r="HK32" s="1325"/>
      <c r="HL32" s="1325"/>
      <c r="HM32" s="1325"/>
      <c r="HN32" s="1325"/>
      <c r="HO32" s="1325"/>
      <c r="HP32" s="1325"/>
      <c r="HQ32" s="1325"/>
      <c r="HR32" s="1325"/>
      <c r="HS32" s="1325"/>
      <c r="HT32" s="1325"/>
      <c r="HU32" s="1325"/>
      <c r="HV32" s="1325"/>
      <c r="HW32" s="1325"/>
      <c r="HX32" s="1325"/>
      <c r="HY32" s="1325"/>
      <c r="HZ32" s="1325"/>
      <c r="IA32" s="1325"/>
      <c r="IB32" s="1325"/>
      <c r="IC32" s="1325"/>
      <c r="ID32" s="1325"/>
      <c r="IE32" s="1325"/>
      <c r="IF32" s="1325"/>
      <c r="IG32" s="1325"/>
      <c r="IH32" s="1325"/>
      <c r="II32" s="1325"/>
      <c r="IJ32" s="1325"/>
      <c r="IK32" s="1325"/>
      <c r="IL32" s="1325"/>
      <c r="IM32" s="1325"/>
      <c r="IN32" s="1325"/>
      <c r="IO32" s="1325"/>
      <c r="IP32" s="1325"/>
      <c r="IQ32" s="1325"/>
      <c r="IR32" s="1325"/>
      <c r="IS32" s="1325"/>
      <c r="IT32" s="1325"/>
      <c r="IU32" s="1325"/>
      <c r="IV32" s="1325"/>
    </row>
    <row r="33" spans="1:256" ht="15.75">
      <c r="A33" s="1368" t="s">
        <v>808</v>
      </c>
      <c r="B33" s="1369" t="s">
        <v>809</v>
      </c>
      <c r="C33" s="1372"/>
      <c r="D33" s="1372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1325"/>
      <c r="AN33" s="1325"/>
      <c r="AO33" s="1325"/>
      <c r="AP33" s="1325"/>
      <c r="AQ33" s="1325"/>
      <c r="AR33" s="1325"/>
      <c r="AS33" s="1325"/>
      <c r="AT33" s="1325"/>
      <c r="AU33" s="1325"/>
      <c r="AV33" s="1325"/>
      <c r="AW33" s="1325"/>
      <c r="AX33" s="1325"/>
      <c r="AY33" s="1325"/>
      <c r="AZ33" s="1325"/>
      <c r="BA33" s="1325"/>
      <c r="BB33" s="1325"/>
      <c r="BC33" s="1325"/>
      <c r="BD33" s="1325"/>
      <c r="BE33" s="1325"/>
      <c r="BF33" s="1325"/>
      <c r="BG33" s="1325"/>
      <c r="BH33" s="1325"/>
      <c r="BI33" s="1325"/>
      <c r="BJ33" s="1325"/>
      <c r="BK33" s="1325"/>
      <c r="BL33" s="1325"/>
      <c r="BM33" s="1325"/>
      <c r="BN33" s="1325"/>
      <c r="BO33" s="1325"/>
      <c r="BP33" s="1325"/>
      <c r="BQ33" s="1325"/>
      <c r="BR33" s="1325"/>
      <c r="BS33" s="1325"/>
      <c r="BT33" s="1325"/>
      <c r="BU33" s="1325"/>
      <c r="BV33" s="1325"/>
      <c r="BW33" s="1325"/>
      <c r="BX33" s="1325"/>
      <c r="BY33" s="1325"/>
      <c r="BZ33" s="1325"/>
      <c r="CA33" s="1325"/>
      <c r="CB33" s="1325"/>
      <c r="CC33" s="1325"/>
      <c r="CD33" s="1325"/>
      <c r="CE33" s="1325"/>
      <c r="CF33" s="1325"/>
      <c r="CG33" s="1325"/>
      <c r="CH33" s="1325"/>
      <c r="CI33" s="1325"/>
      <c r="CJ33" s="1325"/>
      <c r="CK33" s="1325"/>
      <c r="CL33" s="1325"/>
      <c r="CM33" s="1325"/>
      <c r="CN33" s="1325"/>
      <c r="CO33" s="1325"/>
      <c r="CP33" s="1325"/>
      <c r="CQ33" s="1325"/>
      <c r="CR33" s="1325"/>
      <c r="CS33" s="1325"/>
      <c r="CT33" s="1325"/>
      <c r="CU33" s="1325"/>
      <c r="CV33" s="1325"/>
      <c r="CW33" s="1325"/>
      <c r="CX33" s="1325"/>
      <c r="CY33" s="1325"/>
      <c r="CZ33" s="1325"/>
      <c r="DA33" s="1325"/>
      <c r="DB33" s="1325"/>
      <c r="DC33" s="1325"/>
      <c r="DD33" s="1325"/>
      <c r="DE33" s="1325"/>
      <c r="DF33" s="1325"/>
      <c r="DG33" s="1325"/>
      <c r="DH33" s="1325"/>
      <c r="DI33" s="1325"/>
      <c r="DJ33" s="1325"/>
      <c r="DK33" s="1325"/>
      <c r="DL33" s="1325"/>
      <c r="DM33" s="1325"/>
      <c r="DN33" s="1325"/>
      <c r="DO33" s="1325"/>
      <c r="DP33" s="1325"/>
      <c r="DQ33" s="1325"/>
      <c r="DR33" s="1325"/>
      <c r="DS33" s="1325"/>
      <c r="DT33" s="1325"/>
      <c r="DU33" s="1325"/>
      <c r="DV33" s="1325"/>
      <c r="DW33" s="1325"/>
      <c r="DX33" s="1325"/>
      <c r="DY33" s="1325"/>
      <c r="DZ33" s="1325"/>
      <c r="EA33" s="1325"/>
      <c r="EB33" s="1325"/>
      <c r="EC33" s="1325"/>
      <c r="ED33" s="1325"/>
      <c r="EE33" s="1325"/>
      <c r="EF33" s="1325"/>
      <c r="EG33" s="1325"/>
      <c r="EH33" s="1325"/>
      <c r="EI33" s="1325"/>
      <c r="EJ33" s="1325"/>
      <c r="EK33" s="1325"/>
      <c r="EL33" s="1325"/>
      <c r="EM33" s="1325"/>
      <c r="EN33" s="1325"/>
      <c r="EO33" s="1325"/>
      <c r="EP33" s="1325"/>
      <c r="EQ33" s="1325"/>
      <c r="ER33" s="1325"/>
      <c r="ES33" s="1325"/>
      <c r="ET33" s="1325"/>
      <c r="EU33" s="1325"/>
      <c r="EV33" s="1325"/>
      <c r="EW33" s="1325"/>
      <c r="EX33" s="1325"/>
      <c r="EY33" s="1325"/>
      <c r="EZ33" s="1325"/>
      <c r="FA33" s="1325"/>
      <c r="FB33" s="1325"/>
      <c r="FC33" s="1325"/>
      <c r="FD33" s="1325"/>
      <c r="FE33" s="1325"/>
      <c r="FF33" s="1325"/>
      <c r="FG33" s="1325"/>
      <c r="FH33" s="1325"/>
      <c r="FI33" s="1325"/>
      <c r="FJ33" s="1325"/>
      <c r="FK33" s="1325"/>
      <c r="FL33" s="1325"/>
      <c r="FM33" s="1325"/>
      <c r="FN33" s="1325"/>
      <c r="FO33" s="1325"/>
      <c r="FP33" s="1325"/>
      <c r="FQ33" s="1325"/>
      <c r="FR33" s="1325"/>
      <c r="FS33" s="1325"/>
      <c r="FT33" s="1325"/>
      <c r="FU33" s="1325"/>
      <c r="FV33" s="1325"/>
      <c r="FW33" s="1325"/>
      <c r="FX33" s="1325"/>
      <c r="FY33" s="1325"/>
      <c r="FZ33" s="1325"/>
      <c r="GA33" s="1325"/>
      <c r="GB33" s="1325"/>
      <c r="GC33" s="1325"/>
      <c r="GD33" s="1325"/>
      <c r="GE33" s="1325"/>
      <c r="GF33" s="1325"/>
      <c r="GG33" s="1325"/>
      <c r="GH33" s="1325"/>
      <c r="GI33" s="1325"/>
      <c r="GJ33" s="1325"/>
      <c r="GK33" s="1325"/>
      <c r="GL33" s="1325"/>
      <c r="GM33" s="1325"/>
      <c r="GN33" s="1325"/>
      <c r="GO33" s="1325"/>
      <c r="GP33" s="1325"/>
      <c r="GQ33" s="1325"/>
      <c r="GR33" s="1325"/>
      <c r="GS33" s="1325"/>
      <c r="GT33" s="1325"/>
      <c r="GU33" s="1325"/>
      <c r="GV33" s="1325"/>
      <c r="GW33" s="1325"/>
      <c r="GX33" s="1325"/>
      <c r="GY33" s="1325"/>
      <c r="GZ33" s="1325"/>
      <c r="HA33" s="1325"/>
      <c r="HB33" s="1325"/>
      <c r="HC33" s="1325"/>
      <c r="HD33" s="1325"/>
      <c r="HE33" s="1325"/>
      <c r="HF33" s="1325"/>
      <c r="HG33" s="1325"/>
      <c r="HH33" s="1325"/>
      <c r="HI33" s="1325"/>
      <c r="HJ33" s="1325"/>
      <c r="HK33" s="1325"/>
      <c r="HL33" s="1325"/>
      <c r="HM33" s="1325"/>
      <c r="HN33" s="1325"/>
      <c r="HO33" s="1325"/>
      <c r="HP33" s="1325"/>
      <c r="HQ33" s="1325"/>
      <c r="HR33" s="1325"/>
      <c r="HS33" s="1325"/>
      <c r="HT33" s="1325"/>
      <c r="HU33" s="1325"/>
      <c r="HV33" s="1325"/>
      <c r="HW33" s="1325"/>
      <c r="HX33" s="1325"/>
      <c r="HY33" s="1325"/>
      <c r="HZ33" s="1325"/>
      <c r="IA33" s="1325"/>
      <c r="IB33" s="1325"/>
      <c r="IC33" s="1325"/>
      <c r="ID33" s="1325"/>
      <c r="IE33" s="1325"/>
      <c r="IF33" s="1325"/>
      <c r="IG33" s="1325"/>
      <c r="IH33" s="1325"/>
      <c r="II33" s="1325"/>
      <c r="IJ33" s="1325"/>
      <c r="IK33" s="1325"/>
      <c r="IL33" s="1325"/>
      <c r="IM33" s="1325"/>
      <c r="IN33" s="1325"/>
      <c r="IO33" s="1325"/>
      <c r="IP33" s="1325"/>
      <c r="IQ33" s="1325"/>
      <c r="IR33" s="1325"/>
      <c r="IS33" s="1325"/>
      <c r="IT33" s="1325"/>
      <c r="IU33" s="1325"/>
      <c r="IV33" s="1325"/>
    </row>
    <row r="34" spans="1:256" ht="15.75">
      <c r="A34" s="1365" t="s">
        <v>810</v>
      </c>
      <c r="B34" s="1366" t="s">
        <v>811</v>
      </c>
      <c r="C34" s="1367"/>
      <c r="D34" s="1367"/>
      <c r="E34" s="1325"/>
      <c r="F34" s="1325"/>
      <c r="G34" s="1325"/>
      <c r="H34" s="1325"/>
      <c r="I34" s="1325"/>
      <c r="J34" s="1325"/>
      <c r="K34" s="1325"/>
      <c r="L34" s="1325"/>
      <c r="M34" s="1325"/>
      <c r="N34" s="1325"/>
      <c r="O34" s="1325"/>
      <c r="P34" s="1325"/>
      <c r="Q34" s="1325"/>
      <c r="R34" s="1325"/>
      <c r="S34" s="1325"/>
      <c r="T34" s="1325"/>
      <c r="U34" s="1325"/>
      <c r="V34" s="1325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5"/>
      <c r="AL34" s="1325"/>
      <c r="AM34" s="1325"/>
      <c r="AN34" s="1325"/>
      <c r="AO34" s="1325"/>
      <c r="AP34" s="1325"/>
      <c r="AQ34" s="1325"/>
      <c r="AR34" s="1325"/>
      <c r="AS34" s="1325"/>
      <c r="AT34" s="1325"/>
      <c r="AU34" s="1325"/>
      <c r="AV34" s="1325"/>
      <c r="AW34" s="1325"/>
      <c r="AX34" s="1325"/>
      <c r="AY34" s="1325"/>
      <c r="AZ34" s="1325"/>
      <c r="BA34" s="1325"/>
      <c r="BB34" s="1325"/>
      <c r="BC34" s="1325"/>
      <c r="BD34" s="1325"/>
      <c r="BE34" s="1325"/>
      <c r="BF34" s="1325"/>
      <c r="BG34" s="1325"/>
      <c r="BH34" s="1325"/>
      <c r="BI34" s="1325"/>
      <c r="BJ34" s="1325"/>
      <c r="BK34" s="1325"/>
      <c r="BL34" s="1325"/>
      <c r="BM34" s="1325"/>
      <c r="BN34" s="1325"/>
      <c r="BO34" s="1325"/>
      <c r="BP34" s="1325"/>
      <c r="BQ34" s="1325"/>
      <c r="BR34" s="1325"/>
      <c r="BS34" s="1325"/>
      <c r="BT34" s="1325"/>
      <c r="BU34" s="1325"/>
      <c r="BV34" s="1325"/>
      <c r="BW34" s="1325"/>
      <c r="BX34" s="1325"/>
      <c r="BY34" s="1325"/>
      <c r="BZ34" s="1325"/>
      <c r="CA34" s="1325"/>
      <c r="CB34" s="1325"/>
      <c r="CC34" s="1325"/>
      <c r="CD34" s="1325"/>
      <c r="CE34" s="1325"/>
      <c r="CF34" s="1325"/>
      <c r="CG34" s="1325"/>
      <c r="CH34" s="1325"/>
      <c r="CI34" s="1325"/>
      <c r="CJ34" s="1325"/>
      <c r="CK34" s="1325"/>
      <c r="CL34" s="1325"/>
      <c r="CM34" s="1325"/>
      <c r="CN34" s="1325"/>
      <c r="CO34" s="1325"/>
      <c r="CP34" s="1325"/>
      <c r="CQ34" s="1325"/>
      <c r="CR34" s="1325"/>
      <c r="CS34" s="1325"/>
      <c r="CT34" s="1325"/>
      <c r="CU34" s="1325"/>
      <c r="CV34" s="1325"/>
      <c r="CW34" s="1325"/>
      <c r="CX34" s="1325"/>
      <c r="CY34" s="1325"/>
      <c r="CZ34" s="1325"/>
      <c r="DA34" s="1325"/>
      <c r="DB34" s="1325"/>
      <c r="DC34" s="1325"/>
      <c r="DD34" s="1325"/>
      <c r="DE34" s="1325"/>
      <c r="DF34" s="1325"/>
      <c r="DG34" s="1325"/>
      <c r="DH34" s="1325"/>
      <c r="DI34" s="1325"/>
      <c r="DJ34" s="1325"/>
      <c r="DK34" s="1325"/>
      <c r="DL34" s="1325"/>
      <c r="DM34" s="1325"/>
      <c r="DN34" s="1325"/>
      <c r="DO34" s="1325"/>
      <c r="DP34" s="1325"/>
      <c r="DQ34" s="1325"/>
      <c r="DR34" s="1325"/>
      <c r="DS34" s="1325"/>
      <c r="DT34" s="1325"/>
      <c r="DU34" s="1325"/>
      <c r="DV34" s="1325"/>
      <c r="DW34" s="1325"/>
      <c r="DX34" s="1325"/>
      <c r="DY34" s="1325"/>
      <c r="DZ34" s="1325"/>
      <c r="EA34" s="1325"/>
      <c r="EB34" s="1325"/>
      <c r="EC34" s="1325"/>
      <c r="ED34" s="1325"/>
      <c r="EE34" s="1325"/>
      <c r="EF34" s="1325"/>
      <c r="EG34" s="1325"/>
      <c r="EH34" s="1325"/>
      <c r="EI34" s="1325"/>
      <c r="EJ34" s="1325"/>
      <c r="EK34" s="1325"/>
      <c r="EL34" s="1325"/>
      <c r="EM34" s="1325"/>
      <c r="EN34" s="1325"/>
      <c r="EO34" s="1325"/>
      <c r="EP34" s="1325"/>
      <c r="EQ34" s="1325"/>
      <c r="ER34" s="1325"/>
      <c r="ES34" s="1325"/>
      <c r="ET34" s="1325"/>
      <c r="EU34" s="1325"/>
      <c r="EV34" s="1325"/>
      <c r="EW34" s="1325"/>
      <c r="EX34" s="1325"/>
      <c r="EY34" s="1325"/>
      <c r="EZ34" s="1325"/>
      <c r="FA34" s="1325"/>
      <c r="FB34" s="1325"/>
      <c r="FC34" s="1325"/>
      <c r="FD34" s="1325"/>
      <c r="FE34" s="1325"/>
      <c r="FF34" s="1325"/>
      <c r="FG34" s="1325"/>
      <c r="FH34" s="1325"/>
      <c r="FI34" s="1325"/>
      <c r="FJ34" s="1325"/>
      <c r="FK34" s="1325"/>
      <c r="FL34" s="1325"/>
      <c r="FM34" s="1325"/>
      <c r="FN34" s="1325"/>
      <c r="FO34" s="1325"/>
      <c r="FP34" s="1325"/>
      <c r="FQ34" s="1325"/>
      <c r="FR34" s="1325"/>
      <c r="FS34" s="1325"/>
      <c r="FT34" s="1325"/>
      <c r="FU34" s="1325"/>
      <c r="FV34" s="1325"/>
      <c r="FW34" s="1325"/>
      <c r="FX34" s="1325"/>
      <c r="FY34" s="1325"/>
      <c r="FZ34" s="1325"/>
      <c r="GA34" s="1325"/>
      <c r="GB34" s="1325"/>
      <c r="GC34" s="1325"/>
      <c r="GD34" s="1325"/>
      <c r="GE34" s="1325"/>
      <c r="GF34" s="1325"/>
      <c r="GG34" s="1325"/>
      <c r="GH34" s="1325"/>
      <c r="GI34" s="1325"/>
      <c r="GJ34" s="1325"/>
      <c r="GK34" s="1325"/>
      <c r="GL34" s="1325"/>
      <c r="GM34" s="1325"/>
      <c r="GN34" s="1325"/>
      <c r="GO34" s="1325"/>
      <c r="GP34" s="1325"/>
      <c r="GQ34" s="1325"/>
      <c r="GR34" s="1325"/>
      <c r="GS34" s="1325"/>
      <c r="GT34" s="1325"/>
      <c r="GU34" s="1325"/>
      <c r="GV34" s="1325"/>
      <c r="GW34" s="1325"/>
      <c r="GX34" s="1325"/>
      <c r="GY34" s="1325"/>
      <c r="GZ34" s="1325"/>
      <c r="HA34" s="1325"/>
      <c r="HB34" s="1325"/>
      <c r="HC34" s="1325"/>
      <c r="HD34" s="1325"/>
      <c r="HE34" s="1325"/>
      <c r="HF34" s="1325"/>
      <c r="HG34" s="1325"/>
      <c r="HH34" s="1325"/>
      <c r="HI34" s="1325"/>
      <c r="HJ34" s="1325"/>
      <c r="HK34" s="1325"/>
      <c r="HL34" s="1325"/>
      <c r="HM34" s="1325"/>
      <c r="HN34" s="1325"/>
      <c r="HO34" s="1325"/>
      <c r="HP34" s="1325"/>
      <c r="HQ34" s="1325"/>
      <c r="HR34" s="1325"/>
      <c r="HS34" s="1325"/>
      <c r="HT34" s="1325"/>
      <c r="HU34" s="1325"/>
      <c r="HV34" s="1325"/>
      <c r="HW34" s="1325"/>
      <c r="HX34" s="1325"/>
      <c r="HY34" s="1325"/>
      <c r="HZ34" s="1325"/>
      <c r="IA34" s="1325"/>
      <c r="IB34" s="1325"/>
      <c r="IC34" s="1325"/>
      <c r="ID34" s="1325"/>
      <c r="IE34" s="1325"/>
      <c r="IF34" s="1325"/>
      <c r="IG34" s="1325"/>
      <c r="IH34" s="1325"/>
      <c r="II34" s="1325"/>
      <c r="IJ34" s="1325"/>
      <c r="IK34" s="1325"/>
      <c r="IL34" s="1325"/>
      <c r="IM34" s="1325"/>
      <c r="IN34" s="1325"/>
      <c r="IO34" s="1325"/>
      <c r="IP34" s="1325"/>
      <c r="IQ34" s="1325"/>
      <c r="IR34" s="1325"/>
      <c r="IS34" s="1325"/>
      <c r="IT34" s="1325"/>
      <c r="IU34" s="1325"/>
      <c r="IV34" s="1325"/>
    </row>
    <row r="35" spans="1:256" ht="47.25">
      <c r="A35" s="1365" t="s">
        <v>812</v>
      </c>
      <c r="B35" s="1366" t="s">
        <v>813</v>
      </c>
      <c r="C35" s="1367"/>
      <c r="D35" s="1367"/>
      <c r="E35" s="1325"/>
      <c r="F35" s="1325"/>
      <c r="G35" s="1325"/>
      <c r="H35" s="1325"/>
      <c r="I35" s="1325"/>
      <c r="J35" s="1325"/>
      <c r="K35" s="1325"/>
      <c r="L35" s="1325"/>
      <c r="M35" s="1325"/>
      <c r="N35" s="1325"/>
      <c r="O35" s="1325"/>
      <c r="P35" s="1325"/>
      <c r="Q35" s="1325"/>
      <c r="R35" s="1325"/>
      <c r="S35" s="1325"/>
      <c r="T35" s="1325"/>
      <c r="U35" s="1325"/>
      <c r="V35" s="1325"/>
      <c r="W35" s="1325"/>
      <c r="X35" s="1325"/>
      <c r="Y35" s="1325"/>
      <c r="Z35" s="1325"/>
      <c r="AA35" s="1325"/>
      <c r="AB35" s="1325"/>
      <c r="AC35" s="1325"/>
      <c r="AD35" s="1325"/>
      <c r="AE35" s="1325"/>
      <c r="AF35" s="1325"/>
      <c r="AG35" s="1325"/>
      <c r="AH35" s="1325"/>
      <c r="AI35" s="1325"/>
      <c r="AJ35" s="1325"/>
      <c r="AK35" s="1325"/>
      <c r="AL35" s="1325"/>
      <c r="AM35" s="1325"/>
      <c r="AN35" s="1325"/>
      <c r="AO35" s="1325"/>
      <c r="AP35" s="1325"/>
      <c r="AQ35" s="1325"/>
      <c r="AR35" s="1325"/>
      <c r="AS35" s="1325"/>
      <c r="AT35" s="1325"/>
      <c r="AU35" s="1325"/>
      <c r="AV35" s="1325"/>
      <c r="AW35" s="1325"/>
      <c r="AX35" s="1325"/>
      <c r="AY35" s="1325"/>
      <c r="AZ35" s="1325"/>
      <c r="BA35" s="1325"/>
      <c r="BB35" s="1325"/>
      <c r="BC35" s="1325"/>
      <c r="BD35" s="1325"/>
      <c r="BE35" s="1325"/>
      <c r="BF35" s="1325"/>
      <c r="BG35" s="1325"/>
      <c r="BH35" s="1325"/>
      <c r="BI35" s="1325"/>
      <c r="BJ35" s="1325"/>
      <c r="BK35" s="1325"/>
      <c r="BL35" s="1325"/>
      <c r="BM35" s="1325"/>
      <c r="BN35" s="1325"/>
      <c r="BO35" s="1325"/>
      <c r="BP35" s="1325"/>
      <c r="BQ35" s="1325"/>
      <c r="BR35" s="1325"/>
      <c r="BS35" s="1325"/>
      <c r="BT35" s="1325"/>
      <c r="BU35" s="1325"/>
      <c r="BV35" s="1325"/>
      <c r="BW35" s="1325"/>
      <c r="BX35" s="1325"/>
      <c r="BY35" s="1325"/>
      <c r="BZ35" s="1325"/>
      <c r="CA35" s="1325"/>
      <c r="CB35" s="1325"/>
      <c r="CC35" s="1325"/>
      <c r="CD35" s="1325"/>
      <c r="CE35" s="1325"/>
      <c r="CF35" s="1325"/>
      <c r="CG35" s="1325"/>
      <c r="CH35" s="1325"/>
      <c r="CI35" s="1325"/>
      <c r="CJ35" s="1325"/>
      <c r="CK35" s="1325"/>
      <c r="CL35" s="1325"/>
      <c r="CM35" s="1325"/>
      <c r="CN35" s="1325"/>
      <c r="CO35" s="1325"/>
      <c r="CP35" s="1325"/>
      <c r="CQ35" s="1325"/>
      <c r="CR35" s="1325"/>
      <c r="CS35" s="1325"/>
      <c r="CT35" s="1325"/>
      <c r="CU35" s="1325"/>
      <c r="CV35" s="1325"/>
      <c r="CW35" s="1325"/>
      <c r="CX35" s="1325"/>
      <c r="CY35" s="1325"/>
      <c r="CZ35" s="1325"/>
      <c r="DA35" s="1325"/>
      <c r="DB35" s="1325"/>
      <c r="DC35" s="1325"/>
      <c r="DD35" s="1325"/>
      <c r="DE35" s="1325"/>
      <c r="DF35" s="1325"/>
      <c r="DG35" s="1325"/>
      <c r="DH35" s="1325"/>
      <c r="DI35" s="1325"/>
      <c r="DJ35" s="1325"/>
      <c r="DK35" s="1325"/>
      <c r="DL35" s="1325"/>
      <c r="DM35" s="1325"/>
      <c r="DN35" s="1325"/>
      <c r="DO35" s="1325"/>
      <c r="DP35" s="1325"/>
      <c r="DQ35" s="1325"/>
      <c r="DR35" s="1325"/>
      <c r="DS35" s="1325"/>
      <c r="DT35" s="1325"/>
      <c r="DU35" s="1325"/>
      <c r="DV35" s="1325"/>
      <c r="DW35" s="1325"/>
      <c r="DX35" s="1325"/>
      <c r="DY35" s="1325"/>
      <c r="DZ35" s="1325"/>
      <c r="EA35" s="1325"/>
      <c r="EB35" s="1325"/>
      <c r="EC35" s="1325"/>
      <c r="ED35" s="1325"/>
      <c r="EE35" s="1325"/>
      <c r="EF35" s="1325"/>
      <c r="EG35" s="1325"/>
      <c r="EH35" s="1325"/>
      <c r="EI35" s="1325"/>
      <c r="EJ35" s="1325"/>
      <c r="EK35" s="1325"/>
      <c r="EL35" s="1325"/>
      <c r="EM35" s="1325"/>
      <c r="EN35" s="1325"/>
      <c r="EO35" s="1325"/>
      <c r="EP35" s="1325"/>
      <c r="EQ35" s="1325"/>
      <c r="ER35" s="1325"/>
      <c r="ES35" s="1325"/>
      <c r="ET35" s="1325"/>
      <c r="EU35" s="1325"/>
      <c r="EV35" s="1325"/>
      <c r="EW35" s="1325"/>
      <c r="EX35" s="1325"/>
      <c r="EY35" s="1325"/>
      <c r="EZ35" s="1325"/>
      <c r="FA35" s="1325"/>
      <c r="FB35" s="1325"/>
      <c r="FC35" s="1325"/>
      <c r="FD35" s="1325"/>
      <c r="FE35" s="1325"/>
      <c r="FF35" s="1325"/>
      <c r="FG35" s="1325"/>
      <c r="FH35" s="1325"/>
      <c r="FI35" s="1325"/>
      <c r="FJ35" s="1325"/>
      <c r="FK35" s="1325"/>
      <c r="FL35" s="1325"/>
      <c r="FM35" s="1325"/>
      <c r="FN35" s="1325"/>
      <c r="FO35" s="1325"/>
      <c r="FP35" s="1325"/>
      <c r="FQ35" s="1325"/>
      <c r="FR35" s="1325"/>
      <c r="FS35" s="1325"/>
      <c r="FT35" s="1325"/>
      <c r="FU35" s="1325"/>
      <c r="FV35" s="1325"/>
      <c r="FW35" s="1325"/>
      <c r="FX35" s="1325"/>
      <c r="FY35" s="1325"/>
      <c r="FZ35" s="1325"/>
      <c r="GA35" s="1325"/>
      <c r="GB35" s="1325"/>
      <c r="GC35" s="1325"/>
      <c r="GD35" s="1325"/>
      <c r="GE35" s="1325"/>
      <c r="GF35" s="1325"/>
      <c r="GG35" s="1325"/>
      <c r="GH35" s="1325"/>
      <c r="GI35" s="1325"/>
      <c r="GJ35" s="1325"/>
      <c r="GK35" s="1325"/>
      <c r="GL35" s="1325"/>
      <c r="GM35" s="1325"/>
      <c r="GN35" s="1325"/>
      <c r="GO35" s="1325"/>
      <c r="GP35" s="1325"/>
      <c r="GQ35" s="1325"/>
      <c r="GR35" s="1325"/>
      <c r="GS35" s="1325"/>
      <c r="GT35" s="1325"/>
      <c r="GU35" s="1325"/>
      <c r="GV35" s="1325"/>
      <c r="GW35" s="1325"/>
      <c r="GX35" s="1325"/>
      <c r="GY35" s="1325"/>
      <c r="GZ35" s="1325"/>
      <c r="HA35" s="1325"/>
      <c r="HB35" s="1325"/>
      <c r="HC35" s="1325"/>
      <c r="HD35" s="1325"/>
      <c r="HE35" s="1325"/>
      <c r="HF35" s="1325"/>
      <c r="HG35" s="1325"/>
      <c r="HH35" s="1325"/>
      <c r="HI35" s="1325"/>
      <c r="HJ35" s="1325"/>
      <c r="HK35" s="1325"/>
      <c r="HL35" s="1325"/>
      <c r="HM35" s="1325"/>
      <c r="HN35" s="1325"/>
      <c r="HO35" s="1325"/>
      <c r="HP35" s="1325"/>
      <c r="HQ35" s="1325"/>
      <c r="HR35" s="1325"/>
      <c r="HS35" s="1325"/>
      <c r="HT35" s="1325"/>
      <c r="HU35" s="1325"/>
      <c r="HV35" s="1325"/>
      <c r="HW35" s="1325"/>
      <c r="HX35" s="1325"/>
      <c r="HY35" s="1325"/>
      <c r="HZ35" s="1325"/>
      <c r="IA35" s="1325"/>
      <c r="IB35" s="1325"/>
      <c r="IC35" s="1325"/>
      <c r="ID35" s="1325"/>
      <c r="IE35" s="1325"/>
      <c r="IF35" s="1325"/>
      <c r="IG35" s="1325"/>
      <c r="IH35" s="1325"/>
      <c r="II35" s="1325"/>
      <c r="IJ35" s="1325"/>
      <c r="IK35" s="1325"/>
      <c r="IL35" s="1325"/>
      <c r="IM35" s="1325"/>
      <c r="IN35" s="1325"/>
      <c r="IO35" s="1325"/>
      <c r="IP35" s="1325"/>
      <c r="IQ35" s="1325"/>
      <c r="IR35" s="1325"/>
      <c r="IS35" s="1325"/>
      <c r="IT35" s="1325"/>
      <c r="IU35" s="1325"/>
      <c r="IV35" s="1325"/>
    </row>
    <row r="36" spans="1:256" ht="31.5">
      <c r="A36" s="1365" t="s">
        <v>814</v>
      </c>
      <c r="B36" s="1366" t="s">
        <v>815</v>
      </c>
      <c r="C36" s="1367"/>
      <c r="D36" s="1367"/>
      <c r="E36" s="1325"/>
      <c r="F36" s="1325"/>
      <c r="G36" s="1325"/>
      <c r="H36" s="1325"/>
      <c r="I36" s="1325"/>
      <c r="J36" s="1325"/>
      <c r="K36" s="1325"/>
      <c r="L36" s="1325"/>
      <c r="M36" s="1325"/>
      <c r="N36" s="1325"/>
      <c r="O36" s="1325"/>
      <c r="P36" s="1325"/>
      <c r="Q36" s="1325"/>
      <c r="R36" s="1325"/>
      <c r="S36" s="1325"/>
      <c r="T36" s="1325"/>
      <c r="U36" s="1325"/>
      <c r="V36" s="1325"/>
      <c r="W36" s="1325"/>
      <c r="X36" s="1325"/>
      <c r="Y36" s="1325"/>
      <c r="Z36" s="1325"/>
      <c r="AA36" s="1325"/>
      <c r="AB36" s="1325"/>
      <c r="AC36" s="1325"/>
      <c r="AD36" s="1325"/>
      <c r="AE36" s="1325"/>
      <c r="AF36" s="1325"/>
      <c r="AG36" s="1325"/>
      <c r="AH36" s="1325"/>
      <c r="AI36" s="1325"/>
      <c r="AJ36" s="1325"/>
      <c r="AK36" s="1325"/>
      <c r="AL36" s="1325"/>
      <c r="AM36" s="1325"/>
      <c r="AN36" s="1325"/>
      <c r="AO36" s="1325"/>
      <c r="AP36" s="1325"/>
      <c r="AQ36" s="1325"/>
      <c r="AR36" s="1325"/>
      <c r="AS36" s="1325"/>
      <c r="AT36" s="1325"/>
      <c r="AU36" s="1325"/>
      <c r="AV36" s="1325"/>
      <c r="AW36" s="1325"/>
      <c r="AX36" s="1325"/>
      <c r="AY36" s="1325"/>
      <c r="AZ36" s="1325"/>
      <c r="BA36" s="1325"/>
      <c r="BB36" s="1325"/>
      <c r="BC36" s="1325"/>
      <c r="BD36" s="1325"/>
      <c r="BE36" s="1325"/>
      <c r="BF36" s="1325"/>
      <c r="BG36" s="1325"/>
      <c r="BH36" s="1325"/>
      <c r="BI36" s="1325"/>
      <c r="BJ36" s="1325"/>
      <c r="BK36" s="1325"/>
      <c r="BL36" s="1325"/>
      <c r="BM36" s="1325"/>
      <c r="BN36" s="1325"/>
      <c r="BO36" s="1325"/>
      <c r="BP36" s="1325"/>
      <c r="BQ36" s="1325"/>
      <c r="BR36" s="1325"/>
      <c r="BS36" s="1325"/>
      <c r="BT36" s="1325"/>
      <c r="BU36" s="1325"/>
      <c r="BV36" s="1325"/>
      <c r="BW36" s="1325"/>
      <c r="BX36" s="1325"/>
      <c r="BY36" s="1325"/>
      <c r="BZ36" s="1325"/>
      <c r="CA36" s="1325"/>
      <c r="CB36" s="1325"/>
      <c r="CC36" s="1325"/>
      <c r="CD36" s="1325"/>
      <c r="CE36" s="1325"/>
      <c r="CF36" s="1325"/>
      <c r="CG36" s="1325"/>
      <c r="CH36" s="1325"/>
      <c r="CI36" s="1325"/>
      <c r="CJ36" s="1325"/>
      <c r="CK36" s="1325"/>
      <c r="CL36" s="1325"/>
      <c r="CM36" s="1325"/>
      <c r="CN36" s="1325"/>
      <c r="CO36" s="1325"/>
      <c r="CP36" s="1325"/>
      <c r="CQ36" s="1325"/>
      <c r="CR36" s="1325"/>
      <c r="CS36" s="1325"/>
      <c r="CT36" s="1325"/>
      <c r="CU36" s="1325"/>
      <c r="CV36" s="1325"/>
      <c r="CW36" s="1325"/>
      <c r="CX36" s="1325"/>
      <c r="CY36" s="1325"/>
      <c r="CZ36" s="1325"/>
      <c r="DA36" s="1325"/>
      <c r="DB36" s="1325"/>
      <c r="DC36" s="1325"/>
      <c r="DD36" s="1325"/>
      <c r="DE36" s="1325"/>
      <c r="DF36" s="1325"/>
      <c r="DG36" s="1325"/>
      <c r="DH36" s="1325"/>
      <c r="DI36" s="1325"/>
      <c r="DJ36" s="1325"/>
      <c r="DK36" s="1325"/>
      <c r="DL36" s="1325"/>
      <c r="DM36" s="1325"/>
      <c r="DN36" s="1325"/>
      <c r="DO36" s="1325"/>
      <c r="DP36" s="1325"/>
      <c r="DQ36" s="1325"/>
      <c r="DR36" s="1325"/>
      <c r="DS36" s="1325"/>
      <c r="DT36" s="1325"/>
      <c r="DU36" s="1325"/>
      <c r="DV36" s="1325"/>
      <c r="DW36" s="1325"/>
      <c r="DX36" s="1325"/>
      <c r="DY36" s="1325"/>
      <c r="DZ36" s="1325"/>
      <c r="EA36" s="1325"/>
      <c r="EB36" s="1325"/>
      <c r="EC36" s="1325"/>
      <c r="ED36" s="1325"/>
      <c r="EE36" s="1325"/>
      <c r="EF36" s="1325"/>
      <c r="EG36" s="1325"/>
      <c r="EH36" s="1325"/>
      <c r="EI36" s="1325"/>
      <c r="EJ36" s="1325"/>
      <c r="EK36" s="1325"/>
      <c r="EL36" s="1325"/>
      <c r="EM36" s="1325"/>
      <c r="EN36" s="1325"/>
      <c r="EO36" s="1325"/>
      <c r="EP36" s="1325"/>
      <c r="EQ36" s="1325"/>
      <c r="ER36" s="1325"/>
      <c r="ES36" s="1325"/>
      <c r="ET36" s="1325"/>
      <c r="EU36" s="1325"/>
      <c r="EV36" s="1325"/>
      <c r="EW36" s="1325"/>
      <c r="EX36" s="1325"/>
      <c r="EY36" s="1325"/>
      <c r="EZ36" s="1325"/>
      <c r="FA36" s="1325"/>
      <c r="FB36" s="1325"/>
      <c r="FC36" s="1325"/>
      <c r="FD36" s="1325"/>
      <c r="FE36" s="1325"/>
      <c r="FF36" s="1325"/>
      <c r="FG36" s="1325"/>
      <c r="FH36" s="1325"/>
      <c r="FI36" s="1325"/>
      <c r="FJ36" s="1325"/>
      <c r="FK36" s="1325"/>
      <c r="FL36" s="1325"/>
      <c r="FM36" s="1325"/>
      <c r="FN36" s="1325"/>
      <c r="FO36" s="1325"/>
      <c r="FP36" s="1325"/>
      <c r="FQ36" s="1325"/>
      <c r="FR36" s="1325"/>
      <c r="FS36" s="1325"/>
      <c r="FT36" s="1325"/>
      <c r="FU36" s="1325"/>
      <c r="FV36" s="1325"/>
      <c r="FW36" s="1325"/>
      <c r="FX36" s="1325"/>
      <c r="FY36" s="1325"/>
      <c r="FZ36" s="1325"/>
      <c r="GA36" s="1325"/>
      <c r="GB36" s="1325"/>
      <c r="GC36" s="1325"/>
      <c r="GD36" s="1325"/>
      <c r="GE36" s="1325"/>
      <c r="GF36" s="1325"/>
      <c r="GG36" s="1325"/>
      <c r="GH36" s="1325"/>
      <c r="GI36" s="1325"/>
      <c r="GJ36" s="1325"/>
      <c r="GK36" s="1325"/>
      <c r="GL36" s="1325"/>
      <c r="GM36" s="1325"/>
      <c r="GN36" s="1325"/>
      <c r="GO36" s="1325"/>
      <c r="GP36" s="1325"/>
      <c r="GQ36" s="1325"/>
      <c r="GR36" s="1325"/>
      <c r="GS36" s="1325"/>
      <c r="GT36" s="1325"/>
      <c r="GU36" s="1325"/>
      <c r="GV36" s="1325"/>
      <c r="GW36" s="1325"/>
      <c r="GX36" s="1325"/>
      <c r="GY36" s="1325"/>
      <c r="GZ36" s="1325"/>
      <c r="HA36" s="1325"/>
      <c r="HB36" s="1325"/>
      <c r="HC36" s="1325"/>
      <c r="HD36" s="1325"/>
      <c r="HE36" s="1325"/>
      <c r="HF36" s="1325"/>
      <c r="HG36" s="1325"/>
      <c r="HH36" s="1325"/>
      <c r="HI36" s="1325"/>
      <c r="HJ36" s="1325"/>
      <c r="HK36" s="1325"/>
      <c r="HL36" s="1325"/>
      <c r="HM36" s="1325"/>
      <c r="HN36" s="1325"/>
      <c r="HO36" s="1325"/>
      <c r="HP36" s="1325"/>
      <c r="HQ36" s="1325"/>
      <c r="HR36" s="1325"/>
      <c r="HS36" s="1325"/>
      <c r="HT36" s="1325"/>
      <c r="HU36" s="1325"/>
      <c r="HV36" s="1325"/>
      <c r="HW36" s="1325"/>
      <c r="HX36" s="1325"/>
      <c r="HY36" s="1325"/>
      <c r="HZ36" s="1325"/>
      <c r="IA36" s="1325"/>
      <c r="IB36" s="1325"/>
      <c r="IC36" s="1325"/>
      <c r="ID36" s="1325"/>
      <c r="IE36" s="1325"/>
      <c r="IF36" s="1325"/>
      <c r="IG36" s="1325"/>
      <c r="IH36" s="1325"/>
      <c r="II36" s="1325"/>
      <c r="IJ36" s="1325"/>
      <c r="IK36" s="1325"/>
      <c r="IL36" s="1325"/>
      <c r="IM36" s="1325"/>
      <c r="IN36" s="1325"/>
      <c r="IO36" s="1325"/>
      <c r="IP36" s="1325"/>
      <c r="IQ36" s="1325"/>
      <c r="IR36" s="1325"/>
      <c r="IS36" s="1325"/>
      <c r="IT36" s="1325"/>
      <c r="IU36" s="1325"/>
      <c r="IV36" s="1325"/>
    </row>
    <row r="37" spans="1:256" ht="15.75">
      <c r="A37" s="1365" t="s">
        <v>816</v>
      </c>
      <c r="B37" s="1366" t="s">
        <v>817</v>
      </c>
      <c r="C37" s="1367"/>
      <c r="D37" s="1367"/>
      <c r="E37" s="1325"/>
      <c r="F37" s="1325"/>
      <c r="G37" s="1325"/>
      <c r="H37" s="1325"/>
      <c r="I37" s="1325"/>
      <c r="J37" s="1325"/>
      <c r="K37" s="1325"/>
      <c r="L37" s="1325"/>
      <c r="M37" s="1325"/>
      <c r="N37" s="1325"/>
      <c r="O37" s="1325"/>
      <c r="P37" s="1325"/>
      <c r="Q37" s="1325"/>
      <c r="R37" s="1325"/>
      <c r="S37" s="1325"/>
      <c r="T37" s="1325"/>
      <c r="U37" s="1325"/>
      <c r="V37" s="1325"/>
      <c r="W37" s="1325"/>
      <c r="X37" s="1325"/>
      <c r="Y37" s="1325"/>
      <c r="Z37" s="1325"/>
      <c r="AA37" s="1325"/>
      <c r="AB37" s="1325"/>
      <c r="AC37" s="1325"/>
      <c r="AD37" s="1325"/>
      <c r="AE37" s="1325"/>
      <c r="AF37" s="1325"/>
      <c r="AG37" s="1325"/>
      <c r="AH37" s="1325"/>
      <c r="AI37" s="1325"/>
      <c r="AJ37" s="1325"/>
      <c r="AK37" s="1325"/>
      <c r="AL37" s="1325"/>
      <c r="AM37" s="1325"/>
      <c r="AN37" s="1325"/>
      <c r="AO37" s="1325"/>
      <c r="AP37" s="1325"/>
      <c r="AQ37" s="1325"/>
      <c r="AR37" s="1325"/>
      <c r="AS37" s="1325"/>
      <c r="AT37" s="1325"/>
      <c r="AU37" s="1325"/>
      <c r="AV37" s="1325"/>
      <c r="AW37" s="1325"/>
      <c r="AX37" s="1325"/>
      <c r="AY37" s="1325"/>
      <c r="AZ37" s="1325"/>
      <c r="BA37" s="1325"/>
      <c r="BB37" s="1325"/>
      <c r="BC37" s="1325"/>
      <c r="BD37" s="1325"/>
      <c r="BE37" s="1325"/>
      <c r="BF37" s="1325"/>
      <c r="BG37" s="1325"/>
      <c r="BH37" s="1325"/>
      <c r="BI37" s="1325"/>
      <c r="BJ37" s="1325"/>
      <c r="BK37" s="1325"/>
      <c r="BL37" s="1325"/>
      <c r="BM37" s="1325"/>
      <c r="BN37" s="1325"/>
      <c r="BO37" s="1325"/>
      <c r="BP37" s="1325"/>
      <c r="BQ37" s="1325"/>
      <c r="BR37" s="1325"/>
      <c r="BS37" s="1325"/>
      <c r="BT37" s="1325"/>
      <c r="BU37" s="1325"/>
      <c r="BV37" s="1325"/>
      <c r="BW37" s="1325"/>
      <c r="BX37" s="1325"/>
      <c r="BY37" s="1325"/>
      <c r="BZ37" s="1325"/>
      <c r="CA37" s="1325"/>
      <c r="CB37" s="1325"/>
      <c r="CC37" s="1325"/>
      <c r="CD37" s="1325"/>
      <c r="CE37" s="1325"/>
      <c r="CF37" s="1325"/>
      <c r="CG37" s="1325"/>
      <c r="CH37" s="1325"/>
      <c r="CI37" s="1325"/>
      <c r="CJ37" s="1325"/>
      <c r="CK37" s="1325"/>
      <c r="CL37" s="1325"/>
      <c r="CM37" s="1325"/>
      <c r="CN37" s="1325"/>
      <c r="CO37" s="1325"/>
      <c r="CP37" s="1325"/>
      <c r="CQ37" s="1325"/>
      <c r="CR37" s="1325"/>
      <c r="CS37" s="1325"/>
      <c r="CT37" s="1325"/>
      <c r="CU37" s="1325"/>
      <c r="CV37" s="1325"/>
      <c r="CW37" s="1325"/>
      <c r="CX37" s="1325"/>
      <c r="CY37" s="1325"/>
      <c r="CZ37" s="1325"/>
      <c r="DA37" s="1325"/>
      <c r="DB37" s="1325"/>
      <c r="DC37" s="1325"/>
      <c r="DD37" s="1325"/>
      <c r="DE37" s="1325"/>
      <c r="DF37" s="1325"/>
      <c r="DG37" s="1325"/>
      <c r="DH37" s="1325"/>
      <c r="DI37" s="1325"/>
      <c r="DJ37" s="1325"/>
      <c r="DK37" s="1325"/>
      <c r="DL37" s="1325"/>
      <c r="DM37" s="1325"/>
      <c r="DN37" s="1325"/>
      <c r="DO37" s="1325"/>
      <c r="DP37" s="1325"/>
      <c r="DQ37" s="1325"/>
      <c r="DR37" s="1325"/>
      <c r="DS37" s="1325"/>
      <c r="DT37" s="1325"/>
      <c r="DU37" s="1325"/>
      <c r="DV37" s="1325"/>
      <c r="DW37" s="1325"/>
      <c r="DX37" s="1325"/>
      <c r="DY37" s="1325"/>
      <c r="DZ37" s="1325"/>
      <c r="EA37" s="1325"/>
      <c r="EB37" s="1325"/>
      <c r="EC37" s="1325"/>
      <c r="ED37" s="1325"/>
      <c r="EE37" s="1325"/>
      <c r="EF37" s="1325"/>
      <c r="EG37" s="1325"/>
      <c r="EH37" s="1325"/>
      <c r="EI37" s="1325"/>
      <c r="EJ37" s="1325"/>
      <c r="EK37" s="1325"/>
      <c r="EL37" s="1325"/>
      <c r="EM37" s="1325"/>
      <c r="EN37" s="1325"/>
      <c r="EO37" s="1325"/>
      <c r="EP37" s="1325"/>
      <c r="EQ37" s="1325"/>
      <c r="ER37" s="1325"/>
      <c r="ES37" s="1325"/>
      <c r="ET37" s="1325"/>
      <c r="EU37" s="1325"/>
      <c r="EV37" s="1325"/>
      <c r="EW37" s="1325"/>
      <c r="EX37" s="1325"/>
      <c r="EY37" s="1325"/>
      <c r="EZ37" s="1325"/>
      <c r="FA37" s="1325"/>
      <c r="FB37" s="1325"/>
      <c r="FC37" s="1325"/>
      <c r="FD37" s="1325"/>
      <c r="FE37" s="1325"/>
      <c r="FF37" s="1325"/>
      <c r="FG37" s="1325"/>
      <c r="FH37" s="1325"/>
      <c r="FI37" s="1325"/>
      <c r="FJ37" s="1325"/>
      <c r="FK37" s="1325"/>
      <c r="FL37" s="1325"/>
      <c r="FM37" s="1325"/>
      <c r="FN37" s="1325"/>
      <c r="FO37" s="1325"/>
      <c r="FP37" s="1325"/>
      <c r="FQ37" s="1325"/>
      <c r="FR37" s="1325"/>
      <c r="FS37" s="1325"/>
      <c r="FT37" s="1325"/>
      <c r="FU37" s="1325"/>
      <c r="FV37" s="1325"/>
      <c r="FW37" s="1325"/>
      <c r="FX37" s="1325"/>
      <c r="FY37" s="1325"/>
      <c r="FZ37" s="1325"/>
      <c r="GA37" s="1325"/>
      <c r="GB37" s="1325"/>
      <c r="GC37" s="1325"/>
      <c r="GD37" s="1325"/>
      <c r="GE37" s="1325"/>
      <c r="GF37" s="1325"/>
      <c r="GG37" s="1325"/>
      <c r="GH37" s="1325"/>
      <c r="GI37" s="1325"/>
      <c r="GJ37" s="1325"/>
      <c r="GK37" s="1325"/>
      <c r="GL37" s="1325"/>
      <c r="GM37" s="1325"/>
      <c r="GN37" s="1325"/>
      <c r="GO37" s="1325"/>
      <c r="GP37" s="1325"/>
      <c r="GQ37" s="1325"/>
      <c r="GR37" s="1325"/>
      <c r="GS37" s="1325"/>
      <c r="GT37" s="1325"/>
      <c r="GU37" s="1325"/>
      <c r="GV37" s="1325"/>
      <c r="GW37" s="1325"/>
      <c r="GX37" s="1325"/>
      <c r="GY37" s="1325"/>
      <c r="GZ37" s="1325"/>
      <c r="HA37" s="1325"/>
      <c r="HB37" s="1325"/>
      <c r="HC37" s="1325"/>
      <c r="HD37" s="1325"/>
      <c r="HE37" s="1325"/>
      <c r="HF37" s="1325"/>
      <c r="HG37" s="1325"/>
      <c r="HH37" s="1325"/>
      <c r="HI37" s="1325"/>
      <c r="HJ37" s="1325"/>
      <c r="HK37" s="1325"/>
      <c r="HL37" s="1325"/>
      <c r="HM37" s="1325"/>
      <c r="HN37" s="1325"/>
      <c r="HO37" s="1325"/>
      <c r="HP37" s="1325"/>
      <c r="HQ37" s="1325"/>
      <c r="HR37" s="1325"/>
      <c r="HS37" s="1325"/>
      <c r="HT37" s="1325"/>
      <c r="HU37" s="1325"/>
      <c r="HV37" s="1325"/>
      <c r="HW37" s="1325"/>
      <c r="HX37" s="1325"/>
      <c r="HY37" s="1325"/>
      <c r="HZ37" s="1325"/>
      <c r="IA37" s="1325"/>
      <c r="IB37" s="1325"/>
      <c r="IC37" s="1325"/>
      <c r="ID37" s="1325"/>
      <c r="IE37" s="1325"/>
      <c r="IF37" s="1325"/>
      <c r="IG37" s="1325"/>
      <c r="IH37" s="1325"/>
      <c r="II37" s="1325"/>
      <c r="IJ37" s="1325"/>
      <c r="IK37" s="1325"/>
      <c r="IL37" s="1325"/>
      <c r="IM37" s="1325"/>
      <c r="IN37" s="1325"/>
      <c r="IO37" s="1325"/>
      <c r="IP37" s="1325"/>
      <c r="IQ37" s="1325"/>
      <c r="IR37" s="1325"/>
      <c r="IS37" s="1325"/>
      <c r="IT37" s="1325"/>
      <c r="IU37" s="1325"/>
      <c r="IV37" s="1325"/>
    </row>
    <row r="38" spans="1:256" ht="15.75">
      <c r="A38" s="1368" t="s">
        <v>818</v>
      </c>
      <c r="B38" s="1369" t="s">
        <v>819</v>
      </c>
      <c r="C38" s="1371">
        <f>SUM(C39+C44+C49)</f>
        <v>0</v>
      </c>
      <c r="D38" s="1371">
        <f>SUM(D39+D44+D49)</f>
        <v>0</v>
      </c>
      <c r="E38" s="1325"/>
      <c r="F38" s="1325"/>
      <c r="G38" s="1325"/>
      <c r="H38" s="1325"/>
      <c r="I38" s="1325"/>
      <c r="J38" s="1325"/>
      <c r="K38" s="1325"/>
      <c r="L38" s="1325"/>
      <c r="M38" s="1325"/>
      <c r="N38" s="1325"/>
      <c r="O38" s="1325"/>
      <c r="P38" s="1325"/>
      <c r="Q38" s="1325"/>
      <c r="R38" s="1325"/>
      <c r="S38" s="1325"/>
      <c r="T38" s="1325"/>
      <c r="U38" s="1325"/>
      <c r="V38" s="1325"/>
      <c r="W38" s="1325"/>
      <c r="X38" s="1325"/>
      <c r="Y38" s="1325"/>
      <c r="Z38" s="1325"/>
      <c r="AA38" s="1325"/>
      <c r="AB38" s="1325"/>
      <c r="AC38" s="1325"/>
      <c r="AD38" s="1325"/>
      <c r="AE38" s="1325"/>
      <c r="AF38" s="1325"/>
      <c r="AG38" s="1325"/>
      <c r="AH38" s="1325"/>
      <c r="AI38" s="1325"/>
      <c r="AJ38" s="1325"/>
      <c r="AK38" s="1325"/>
      <c r="AL38" s="1325"/>
      <c r="AM38" s="1325"/>
      <c r="AN38" s="1325"/>
      <c r="AO38" s="1325"/>
      <c r="AP38" s="1325"/>
      <c r="AQ38" s="1325"/>
      <c r="AR38" s="1325"/>
      <c r="AS38" s="1325"/>
      <c r="AT38" s="1325"/>
      <c r="AU38" s="1325"/>
      <c r="AV38" s="1325"/>
      <c r="AW38" s="1325"/>
      <c r="AX38" s="1325"/>
      <c r="AY38" s="1325"/>
      <c r="AZ38" s="1325"/>
      <c r="BA38" s="1325"/>
      <c r="BB38" s="1325"/>
      <c r="BC38" s="1325"/>
      <c r="BD38" s="1325"/>
      <c r="BE38" s="1325"/>
      <c r="BF38" s="1325"/>
      <c r="BG38" s="1325"/>
      <c r="BH38" s="1325"/>
      <c r="BI38" s="1325"/>
      <c r="BJ38" s="1325"/>
      <c r="BK38" s="1325"/>
      <c r="BL38" s="1325"/>
      <c r="BM38" s="1325"/>
      <c r="BN38" s="1325"/>
      <c r="BO38" s="1325"/>
      <c r="BP38" s="1325"/>
      <c r="BQ38" s="1325"/>
      <c r="BR38" s="1325"/>
      <c r="BS38" s="1325"/>
      <c r="BT38" s="1325"/>
      <c r="BU38" s="1325"/>
      <c r="BV38" s="1325"/>
      <c r="BW38" s="1325"/>
      <c r="BX38" s="1325"/>
      <c r="BY38" s="1325"/>
      <c r="BZ38" s="1325"/>
      <c r="CA38" s="1325"/>
      <c r="CB38" s="1325"/>
      <c r="CC38" s="1325"/>
      <c r="CD38" s="1325"/>
      <c r="CE38" s="1325"/>
      <c r="CF38" s="1325"/>
      <c r="CG38" s="1325"/>
      <c r="CH38" s="1325"/>
      <c r="CI38" s="1325"/>
      <c r="CJ38" s="1325"/>
      <c r="CK38" s="1325"/>
      <c r="CL38" s="1325"/>
      <c r="CM38" s="1325"/>
      <c r="CN38" s="1325"/>
      <c r="CO38" s="1325"/>
      <c r="CP38" s="1325"/>
      <c r="CQ38" s="1325"/>
      <c r="CR38" s="1325"/>
      <c r="CS38" s="1325"/>
      <c r="CT38" s="1325"/>
      <c r="CU38" s="1325"/>
      <c r="CV38" s="1325"/>
      <c r="CW38" s="1325"/>
      <c r="CX38" s="1325"/>
      <c r="CY38" s="1325"/>
      <c r="CZ38" s="1325"/>
      <c r="DA38" s="1325"/>
      <c r="DB38" s="1325"/>
      <c r="DC38" s="1325"/>
      <c r="DD38" s="1325"/>
      <c r="DE38" s="1325"/>
      <c r="DF38" s="1325"/>
      <c r="DG38" s="1325"/>
      <c r="DH38" s="1325"/>
      <c r="DI38" s="1325"/>
      <c r="DJ38" s="1325"/>
      <c r="DK38" s="1325"/>
      <c r="DL38" s="1325"/>
      <c r="DM38" s="1325"/>
      <c r="DN38" s="1325"/>
      <c r="DO38" s="1325"/>
      <c r="DP38" s="1325"/>
      <c r="DQ38" s="1325"/>
      <c r="DR38" s="1325"/>
      <c r="DS38" s="1325"/>
      <c r="DT38" s="1325"/>
      <c r="DU38" s="1325"/>
      <c r="DV38" s="1325"/>
      <c r="DW38" s="1325"/>
      <c r="DX38" s="1325"/>
      <c r="DY38" s="1325"/>
      <c r="DZ38" s="1325"/>
      <c r="EA38" s="1325"/>
      <c r="EB38" s="1325"/>
      <c r="EC38" s="1325"/>
      <c r="ED38" s="1325"/>
      <c r="EE38" s="1325"/>
      <c r="EF38" s="1325"/>
      <c r="EG38" s="1325"/>
      <c r="EH38" s="1325"/>
      <c r="EI38" s="1325"/>
      <c r="EJ38" s="1325"/>
      <c r="EK38" s="1325"/>
      <c r="EL38" s="1325"/>
      <c r="EM38" s="1325"/>
      <c r="EN38" s="1325"/>
      <c r="EO38" s="1325"/>
      <c r="EP38" s="1325"/>
      <c r="EQ38" s="1325"/>
      <c r="ER38" s="1325"/>
      <c r="ES38" s="1325"/>
      <c r="ET38" s="1325"/>
      <c r="EU38" s="1325"/>
      <c r="EV38" s="1325"/>
      <c r="EW38" s="1325"/>
      <c r="EX38" s="1325"/>
      <c r="EY38" s="1325"/>
      <c r="EZ38" s="1325"/>
      <c r="FA38" s="1325"/>
      <c r="FB38" s="1325"/>
      <c r="FC38" s="1325"/>
      <c r="FD38" s="1325"/>
      <c r="FE38" s="1325"/>
      <c r="FF38" s="1325"/>
      <c r="FG38" s="1325"/>
      <c r="FH38" s="1325"/>
      <c r="FI38" s="1325"/>
      <c r="FJ38" s="1325"/>
      <c r="FK38" s="1325"/>
      <c r="FL38" s="1325"/>
      <c r="FM38" s="1325"/>
      <c r="FN38" s="1325"/>
      <c r="FO38" s="1325"/>
      <c r="FP38" s="1325"/>
      <c r="FQ38" s="1325"/>
      <c r="FR38" s="1325"/>
      <c r="FS38" s="1325"/>
      <c r="FT38" s="1325"/>
      <c r="FU38" s="1325"/>
      <c r="FV38" s="1325"/>
      <c r="FW38" s="1325"/>
      <c r="FX38" s="1325"/>
      <c r="FY38" s="1325"/>
      <c r="FZ38" s="1325"/>
      <c r="GA38" s="1325"/>
      <c r="GB38" s="1325"/>
      <c r="GC38" s="1325"/>
      <c r="GD38" s="1325"/>
      <c r="GE38" s="1325"/>
      <c r="GF38" s="1325"/>
      <c r="GG38" s="1325"/>
      <c r="GH38" s="1325"/>
      <c r="GI38" s="1325"/>
      <c r="GJ38" s="1325"/>
      <c r="GK38" s="1325"/>
      <c r="GL38" s="1325"/>
      <c r="GM38" s="1325"/>
      <c r="GN38" s="1325"/>
      <c r="GO38" s="1325"/>
      <c r="GP38" s="1325"/>
      <c r="GQ38" s="1325"/>
      <c r="GR38" s="1325"/>
      <c r="GS38" s="1325"/>
      <c r="GT38" s="1325"/>
      <c r="GU38" s="1325"/>
      <c r="GV38" s="1325"/>
      <c r="GW38" s="1325"/>
      <c r="GX38" s="1325"/>
      <c r="GY38" s="1325"/>
      <c r="GZ38" s="1325"/>
      <c r="HA38" s="1325"/>
      <c r="HB38" s="1325"/>
      <c r="HC38" s="1325"/>
      <c r="HD38" s="1325"/>
      <c r="HE38" s="1325"/>
      <c r="HF38" s="1325"/>
      <c r="HG38" s="1325"/>
      <c r="HH38" s="1325"/>
      <c r="HI38" s="1325"/>
      <c r="HJ38" s="1325"/>
      <c r="HK38" s="1325"/>
      <c r="HL38" s="1325"/>
      <c r="HM38" s="1325"/>
      <c r="HN38" s="1325"/>
      <c r="HO38" s="1325"/>
      <c r="HP38" s="1325"/>
      <c r="HQ38" s="1325"/>
      <c r="HR38" s="1325"/>
      <c r="HS38" s="1325"/>
      <c r="HT38" s="1325"/>
      <c r="HU38" s="1325"/>
      <c r="HV38" s="1325"/>
      <c r="HW38" s="1325"/>
      <c r="HX38" s="1325"/>
      <c r="HY38" s="1325"/>
      <c r="HZ38" s="1325"/>
      <c r="IA38" s="1325"/>
      <c r="IB38" s="1325"/>
      <c r="IC38" s="1325"/>
      <c r="ID38" s="1325"/>
      <c r="IE38" s="1325"/>
      <c r="IF38" s="1325"/>
      <c r="IG38" s="1325"/>
      <c r="IH38" s="1325"/>
      <c r="II38" s="1325"/>
      <c r="IJ38" s="1325"/>
      <c r="IK38" s="1325"/>
      <c r="IL38" s="1325"/>
      <c r="IM38" s="1325"/>
      <c r="IN38" s="1325"/>
      <c r="IO38" s="1325"/>
      <c r="IP38" s="1325"/>
      <c r="IQ38" s="1325"/>
      <c r="IR38" s="1325"/>
      <c r="IS38" s="1325"/>
      <c r="IT38" s="1325"/>
      <c r="IU38" s="1325"/>
      <c r="IV38" s="1325"/>
    </row>
    <row r="39" spans="1:256" ht="15.75">
      <c r="A39" s="1368" t="s">
        <v>820</v>
      </c>
      <c r="B39" s="1369" t="s">
        <v>821</v>
      </c>
      <c r="C39" s="1371">
        <f>SUM(C40:C43)</f>
        <v>0</v>
      </c>
      <c r="D39" s="1371">
        <f>SUM(D40:D43)</f>
        <v>0</v>
      </c>
      <c r="E39" s="1325"/>
      <c r="F39" s="1325"/>
      <c r="G39" s="1325"/>
      <c r="H39" s="1325"/>
      <c r="I39" s="1325"/>
      <c r="J39" s="1325"/>
      <c r="K39" s="1325"/>
      <c r="L39" s="1325"/>
      <c r="M39" s="1325"/>
      <c r="N39" s="1325"/>
      <c r="O39" s="1325"/>
      <c r="P39" s="1325"/>
      <c r="Q39" s="1325"/>
      <c r="R39" s="1325"/>
      <c r="S39" s="1325"/>
      <c r="T39" s="1325"/>
      <c r="U39" s="1325"/>
      <c r="V39" s="1325"/>
      <c r="W39" s="1325"/>
      <c r="X39" s="1325"/>
      <c r="Y39" s="1325"/>
      <c r="Z39" s="1325"/>
      <c r="AA39" s="1325"/>
      <c r="AB39" s="1325"/>
      <c r="AC39" s="1325"/>
      <c r="AD39" s="1325"/>
      <c r="AE39" s="1325"/>
      <c r="AF39" s="1325"/>
      <c r="AG39" s="1325"/>
      <c r="AH39" s="1325"/>
      <c r="AI39" s="1325"/>
      <c r="AJ39" s="1325"/>
      <c r="AK39" s="1325"/>
      <c r="AL39" s="1325"/>
      <c r="AM39" s="1325"/>
      <c r="AN39" s="1325"/>
      <c r="AO39" s="1325"/>
      <c r="AP39" s="1325"/>
      <c r="AQ39" s="1325"/>
      <c r="AR39" s="1325"/>
      <c r="AS39" s="1325"/>
      <c r="AT39" s="1325"/>
      <c r="AU39" s="1325"/>
      <c r="AV39" s="1325"/>
      <c r="AW39" s="1325"/>
      <c r="AX39" s="1325"/>
      <c r="AY39" s="1325"/>
      <c r="AZ39" s="1325"/>
      <c r="BA39" s="1325"/>
      <c r="BB39" s="1325"/>
      <c r="BC39" s="1325"/>
      <c r="BD39" s="1325"/>
      <c r="BE39" s="1325"/>
      <c r="BF39" s="1325"/>
      <c r="BG39" s="1325"/>
      <c r="BH39" s="1325"/>
      <c r="BI39" s="1325"/>
      <c r="BJ39" s="1325"/>
      <c r="BK39" s="1325"/>
      <c r="BL39" s="1325"/>
      <c r="BM39" s="1325"/>
      <c r="BN39" s="1325"/>
      <c r="BO39" s="1325"/>
      <c r="BP39" s="1325"/>
      <c r="BQ39" s="1325"/>
      <c r="BR39" s="1325"/>
      <c r="BS39" s="1325"/>
      <c r="BT39" s="1325"/>
      <c r="BU39" s="1325"/>
      <c r="BV39" s="1325"/>
      <c r="BW39" s="1325"/>
      <c r="BX39" s="1325"/>
      <c r="BY39" s="1325"/>
      <c r="BZ39" s="1325"/>
      <c r="CA39" s="1325"/>
      <c r="CB39" s="1325"/>
      <c r="CC39" s="1325"/>
      <c r="CD39" s="1325"/>
      <c r="CE39" s="1325"/>
      <c r="CF39" s="1325"/>
      <c r="CG39" s="1325"/>
      <c r="CH39" s="1325"/>
      <c r="CI39" s="1325"/>
      <c r="CJ39" s="1325"/>
      <c r="CK39" s="1325"/>
      <c r="CL39" s="1325"/>
      <c r="CM39" s="1325"/>
      <c r="CN39" s="1325"/>
      <c r="CO39" s="1325"/>
      <c r="CP39" s="1325"/>
      <c r="CQ39" s="1325"/>
      <c r="CR39" s="1325"/>
      <c r="CS39" s="1325"/>
      <c r="CT39" s="1325"/>
      <c r="CU39" s="1325"/>
      <c r="CV39" s="1325"/>
      <c r="CW39" s="1325"/>
      <c r="CX39" s="1325"/>
      <c r="CY39" s="1325"/>
      <c r="CZ39" s="1325"/>
      <c r="DA39" s="1325"/>
      <c r="DB39" s="1325"/>
      <c r="DC39" s="1325"/>
      <c r="DD39" s="1325"/>
      <c r="DE39" s="1325"/>
      <c r="DF39" s="1325"/>
      <c r="DG39" s="1325"/>
      <c r="DH39" s="1325"/>
      <c r="DI39" s="1325"/>
      <c r="DJ39" s="1325"/>
      <c r="DK39" s="1325"/>
      <c r="DL39" s="1325"/>
      <c r="DM39" s="1325"/>
      <c r="DN39" s="1325"/>
      <c r="DO39" s="1325"/>
      <c r="DP39" s="1325"/>
      <c r="DQ39" s="1325"/>
      <c r="DR39" s="1325"/>
      <c r="DS39" s="1325"/>
      <c r="DT39" s="1325"/>
      <c r="DU39" s="1325"/>
      <c r="DV39" s="1325"/>
      <c r="DW39" s="1325"/>
      <c r="DX39" s="1325"/>
      <c r="DY39" s="1325"/>
      <c r="DZ39" s="1325"/>
      <c r="EA39" s="1325"/>
      <c r="EB39" s="1325"/>
      <c r="EC39" s="1325"/>
      <c r="ED39" s="1325"/>
      <c r="EE39" s="1325"/>
      <c r="EF39" s="1325"/>
      <c r="EG39" s="1325"/>
      <c r="EH39" s="1325"/>
      <c r="EI39" s="1325"/>
      <c r="EJ39" s="1325"/>
      <c r="EK39" s="1325"/>
      <c r="EL39" s="1325"/>
      <c r="EM39" s="1325"/>
      <c r="EN39" s="1325"/>
      <c r="EO39" s="1325"/>
      <c r="EP39" s="1325"/>
      <c r="EQ39" s="1325"/>
      <c r="ER39" s="1325"/>
      <c r="ES39" s="1325"/>
      <c r="ET39" s="1325"/>
      <c r="EU39" s="1325"/>
      <c r="EV39" s="1325"/>
      <c r="EW39" s="1325"/>
      <c r="EX39" s="1325"/>
      <c r="EY39" s="1325"/>
      <c r="EZ39" s="1325"/>
      <c r="FA39" s="1325"/>
      <c r="FB39" s="1325"/>
      <c r="FC39" s="1325"/>
      <c r="FD39" s="1325"/>
      <c r="FE39" s="1325"/>
      <c r="FF39" s="1325"/>
      <c r="FG39" s="1325"/>
      <c r="FH39" s="1325"/>
      <c r="FI39" s="1325"/>
      <c r="FJ39" s="1325"/>
      <c r="FK39" s="1325"/>
      <c r="FL39" s="1325"/>
      <c r="FM39" s="1325"/>
      <c r="FN39" s="1325"/>
      <c r="FO39" s="1325"/>
      <c r="FP39" s="1325"/>
      <c r="FQ39" s="1325"/>
      <c r="FR39" s="1325"/>
      <c r="FS39" s="1325"/>
      <c r="FT39" s="1325"/>
      <c r="FU39" s="1325"/>
      <c r="FV39" s="1325"/>
      <c r="FW39" s="1325"/>
      <c r="FX39" s="1325"/>
      <c r="FY39" s="1325"/>
      <c r="FZ39" s="1325"/>
      <c r="GA39" s="1325"/>
      <c r="GB39" s="1325"/>
      <c r="GC39" s="1325"/>
      <c r="GD39" s="1325"/>
      <c r="GE39" s="1325"/>
      <c r="GF39" s="1325"/>
      <c r="GG39" s="1325"/>
      <c r="GH39" s="1325"/>
      <c r="GI39" s="1325"/>
      <c r="GJ39" s="1325"/>
      <c r="GK39" s="1325"/>
      <c r="GL39" s="1325"/>
      <c r="GM39" s="1325"/>
      <c r="GN39" s="1325"/>
      <c r="GO39" s="1325"/>
      <c r="GP39" s="1325"/>
      <c r="GQ39" s="1325"/>
      <c r="GR39" s="1325"/>
      <c r="GS39" s="1325"/>
      <c r="GT39" s="1325"/>
      <c r="GU39" s="1325"/>
      <c r="GV39" s="1325"/>
      <c r="GW39" s="1325"/>
      <c r="GX39" s="1325"/>
      <c r="GY39" s="1325"/>
      <c r="GZ39" s="1325"/>
      <c r="HA39" s="1325"/>
      <c r="HB39" s="1325"/>
      <c r="HC39" s="1325"/>
      <c r="HD39" s="1325"/>
      <c r="HE39" s="1325"/>
      <c r="HF39" s="1325"/>
      <c r="HG39" s="1325"/>
      <c r="HH39" s="1325"/>
      <c r="HI39" s="1325"/>
      <c r="HJ39" s="1325"/>
      <c r="HK39" s="1325"/>
      <c r="HL39" s="1325"/>
      <c r="HM39" s="1325"/>
      <c r="HN39" s="1325"/>
      <c r="HO39" s="1325"/>
      <c r="HP39" s="1325"/>
      <c r="HQ39" s="1325"/>
      <c r="HR39" s="1325"/>
      <c r="HS39" s="1325"/>
      <c r="HT39" s="1325"/>
      <c r="HU39" s="1325"/>
      <c r="HV39" s="1325"/>
      <c r="HW39" s="1325"/>
      <c r="HX39" s="1325"/>
      <c r="HY39" s="1325"/>
      <c r="HZ39" s="1325"/>
      <c r="IA39" s="1325"/>
      <c r="IB39" s="1325"/>
      <c r="IC39" s="1325"/>
      <c r="ID39" s="1325"/>
      <c r="IE39" s="1325"/>
      <c r="IF39" s="1325"/>
      <c r="IG39" s="1325"/>
      <c r="IH39" s="1325"/>
      <c r="II39" s="1325"/>
      <c r="IJ39" s="1325"/>
      <c r="IK39" s="1325"/>
      <c r="IL39" s="1325"/>
      <c r="IM39" s="1325"/>
      <c r="IN39" s="1325"/>
      <c r="IO39" s="1325"/>
      <c r="IP39" s="1325"/>
      <c r="IQ39" s="1325"/>
      <c r="IR39" s="1325"/>
      <c r="IS39" s="1325"/>
      <c r="IT39" s="1325"/>
      <c r="IU39" s="1325"/>
      <c r="IV39" s="1325"/>
    </row>
    <row r="40" spans="1:256" ht="15.75">
      <c r="A40" s="1365" t="s">
        <v>822</v>
      </c>
      <c r="B40" s="1366" t="s">
        <v>823</v>
      </c>
      <c r="C40" s="1367"/>
      <c r="D40" s="1367"/>
      <c r="E40" s="1325"/>
      <c r="F40" s="1325"/>
      <c r="G40" s="1325"/>
      <c r="H40" s="1325"/>
      <c r="I40" s="1325"/>
      <c r="J40" s="1325"/>
      <c r="K40" s="1325"/>
      <c r="L40" s="1325"/>
      <c r="M40" s="1325"/>
      <c r="N40" s="1325"/>
      <c r="O40" s="1325"/>
      <c r="P40" s="1325"/>
      <c r="Q40" s="1325"/>
      <c r="R40" s="1325"/>
      <c r="S40" s="1325"/>
      <c r="T40" s="1325"/>
      <c r="U40" s="1325"/>
      <c r="V40" s="1325"/>
      <c r="W40" s="1325"/>
      <c r="X40" s="1325"/>
      <c r="Y40" s="1325"/>
      <c r="Z40" s="1325"/>
      <c r="AA40" s="1325"/>
      <c r="AB40" s="1325"/>
      <c r="AC40" s="1325"/>
      <c r="AD40" s="1325"/>
      <c r="AE40" s="1325"/>
      <c r="AF40" s="1325"/>
      <c r="AG40" s="1325"/>
      <c r="AH40" s="1325"/>
      <c r="AI40" s="1325"/>
      <c r="AJ40" s="1325"/>
      <c r="AK40" s="1325"/>
      <c r="AL40" s="1325"/>
      <c r="AM40" s="1325"/>
      <c r="AN40" s="1325"/>
      <c r="AO40" s="1325"/>
      <c r="AP40" s="1325"/>
      <c r="AQ40" s="1325"/>
      <c r="AR40" s="1325"/>
      <c r="AS40" s="1325"/>
      <c r="AT40" s="1325"/>
      <c r="AU40" s="1325"/>
      <c r="AV40" s="1325"/>
      <c r="AW40" s="1325"/>
      <c r="AX40" s="1325"/>
      <c r="AY40" s="1325"/>
      <c r="AZ40" s="1325"/>
      <c r="BA40" s="1325"/>
      <c r="BB40" s="1325"/>
      <c r="BC40" s="1325"/>
      <c r="BD40" s="1325"/>
      <c r="BE40" s="1325"/>
      <c r="BF40" s="1325"/>
      <c r="BG40" s="1325"/>
      <c r="BH40" s="1325"/>
      <c r="BI40" s="1325"/>
      <c r="BJ40" s="1325"/>
      <c r="BK40" s="1325"/>
      <c r="BL40" s="1325"/>
      <c r="BM40" s="1325"/>
      <c r="BN40" s="1325"/>
      <c r="BO40" s="1325"/>
      <c r="BP40" s="1325"/>
      <c r="BQ40" s="1325"/>
      <c r="BR40" s="1325"/>
      <c r="BS40" s="1325"/>
      <c r="BT40" s="1325"/>
      <c r="BU40" s="1325"/>
      <c r="BV40" s="1325"/>
      <c r="BW40" s="1325"/>
      <c r="BX40" s="1325"/>
      <c r="BY40" s="1325"/>
      <c r="BZ40" s="1325"/>
      <c r="CA40" s="1325"/>
      <c r="CB40" s="1325"/>
      <c r="CC40" s="1325"/>
      <c r="CD40" s="1325"/>
      <c r="CE40" s="1325"/>
      <c r="CF40" s="1325"/>
      <c r="CG40" s="1325"/>
      <c r="CH40" s="1325"/>
      <c r="CI40" s="1325"/>
      <c r="CJ40" s="1325"/>
      <c r="CK40" s="1325"/>
      <c r="CL40" s="1325"/>
      <c r="CM40" s="1325"/>
      <c r="CN40" s="1325"/>
      <c r="CO40" s="1325"/>
      <c r="CP40" s="1325"/>
      <c r="CQ40" s="1325"/>
      <c r="CR40" s="1325"/>
      <c r="CS40" s="1325"/>
      <c r="CT40" s="1325"/>
      <c r="CU40" s="1325"/>
      <c r="CV40" s="1325"/>
      <c r="CW40" s="1325"/>
      <c r="CX40" s="1325"/>
      <c r="CY40" s="1325"/>
      <c r="CZ40" s="1325"/>
      <c r="DA40" s="1325"/>
      <c r="DB40" s="1325"/>
      <c r="DC40" s="1325"/>
      <c r="DD40" s="1325"/>
      <c r="DE40" s="1325"/>
      <c r="DF40" s="1325"/>
      <c r="DG40" s="1325"/>
      <c r="DH40" s="1325"/>
      <c r="DI40" s="1325"/>
      <c r="DJ40" s="1325"/>
      <c r="DK40" s="1325"/>
      <c r="DL40" s="1325"/>
      <c r="DM40" s="1325"/>
      <c r="DN40" s="1325"/>
      <c r="DO40" s="1325"/>
      <c r="DP40" s="1325"/>
      <c r="DQ40" s="1325"/>
      <c r="DR40" s="1325"/>
      <c r="DS40" s="1325"/>
      <c r="DT40" s="1325"/>
      <c r="DU40" s="1325"/>
      <c r="DV40" s="1325"/>
      <c r="DW40" s="1325"/>
      <c r="DX40" s="1325"/>
      <c r="DY40" s="1325"/>
      <c r="DZ40" s="1325"/>
      <c r="EA40" s="1325"/>
      <c r="EB40" s="1325"/>
      <c r="EC40" s="1325"/>
      <c r="ED40" s="1325"/>
      <c r="EE40" s="1325"/>
      <c r="EF40" s="1325"/>
      <c r="EG40" s="1325"/>
      <c r="EH40" s="1325"/>
      <c r="EI40" s="1325"/>
      <c r="EJ40" s="1325"/>
      <c r="EK40" s="1325"/>
      <c r="EL40" s="1325"/>
      <c r="EM40" s="1325"/>
      <c r="EN40" s="1325"/>
      <c r="EO40" s="1325"/>
      <c r="EP40" s="1325"/>
      <c r="EQ40" s="1325"/>
      <c r="ER40" s="1325"/>
      <c r="ES40" s="1325"/>
      <c r="ET40" s="1325"/>
      <c r="EU40" s="1325"/>
      <c r="EV40" s="1325"/>
      <c r="EW40" s="1325"/>
      <c r="EX40" s="1325"/>
      <c r="EY40" s="1325"/>
      <c r="EZ40" s="1325"/>
      <c r="FA40" s="1325"/>
      <c r="FB40" s="1325"/>
      <c r="FC40" s="1325"/>
      <c r="FD40" s="1325"/>
      <c r="FE40" s="1325"/>
      <c r="FF40" s="1325"/>
      <c r="FG40" s="1325"/>
      <c r="FH40" s="1325"/>
      <c r="FI40" s="1325"/>
      <c r="FJ40" s="1325"/>
      <c r="FK40" s="1325"/>
      <c r="FL40" s="1325"/>
      <c r="FM40" s="1325"/>
      <c r="FN40" s="1325"/>
      <c r="FO40" s="1325"/>
      <c r="FP40" s="1325"/>
      <c r="FQ40" s="1325"/>
      <c r="FR40" s="1325"/>
      <c r="FS40" s="1325"/>
      <c r="FT40" s="1325"/>
      <c r="FU40" s="1325"/>
      <c r="FV40" s="1325"/>
      <c r="FW40" s="1325"/>
      <c r="FX40" s="1325"/>
      <c r="FY40" s="1325"/>
      <c r="FZ40" s="1325"/>
      <c r="GA40" s="1325"/>
      <c r="GB40" s="1325"/>
      <c r="GC40" s="1325"/>
      <c r="GD40" s="1325"/>
      <c r="GE40" s="1325"/>
      <c r="GF40" s="1325"/>
      <c r="GG40" s="1325"/>
      <c r="GH40" s="1325"/>
      <c r="GI40" s="1325"/>
      <c r="GJ40" s="1325"/>
      <c r="GK40" s="1325"/>
      <c r="GL40" s="1325"/>
      <c r="GM40" s="1325"/>
      <c r="GN40" s="1325"/>
      <c r="GO40" s="1325"/>
      <c r="GP40" s="1325"/>
      <c r="GQ40" s="1325"/>
      <c r="GR40" s="1325"/>
      <c r="GS40" s="1325"/>
      <c r="GT40" s="1325"/>
      <c r="GU40" s="1325"/>
      <c r="GV40" s="1325"/>
      <c r="GW40" s="1325"/>
      <c r="GX40" s="1325"/>
      <c r="GY40" s="1325"/>
      <c r="GZ40" s="1325"/>
      <c r="HA40" s="1325"/>
      <c r="HB40" s="1325"/>
      <c r="HC40" s="1325"/>
      <c r="HD40" s="1325"/>
      <c r="HE40" s="1325"/>
      <c r="HF40" s="1325"/>
      <c r="HG40" s="1325"/>
      <c r="HH40" s="1325"/>
      <c r="HI40" s="1325"/>
      <c r="HJ40" s="1325"/>
      <c r="HK40" s="1325"/>
      <c r="HL40" s="1325"/>
      <c r="HM40" s="1325"/>
      <c r="HN40" s="1325"/>
      <c r="HO40" s="1325"/>
      <c r="HP40" s="1325"/>
      <c r="HQ40" s="1325"/>
      <c r="HR40" s="1325"/>
      <c r="HS40" s="1325"/>
      <c r="HT40" s="1325"/>
      <c r="HU40" s="1325"/>
      <c r="HV40" s="1325"/>
      <c r="HW40" s="1325"/>
      <c r="HX40" s="1325"/>
      <c r="HY40" s="1325"/>
      <c r="HZ40" s="1325"/>
      <c r="IA40" s="1325"/>
      <c r="IB40" s="1325"/>
      <c r="IC40" s="1325"/>
      <c r="ID40" s="1325"/>
      <c r="IE40" s="1325"/>
      <c r="IF40" s="1325"/>
      <c r="IG40" s="1325"/>
      <c r="IH40" s="1325"/>
      <c r="II40" s="1325"/>
      <c r="IJ40" s="1325"/>
      <c r="IK40" s="1325"/>
      <c r="IL40" s="1325"/>
      <c r="IM40" s="1325"/>
      <c r="IN40" s="1325"/>
      <c r="IO40" s="1325"/>
      <c r="IP40" s="1325"/>
      <c r="IQ40" s="1325"/>
      <c r="IR40" s="1325"/>
      <c r="IS40" s="1325"/>
      <c r="IT40" s="1325"/>
      <c r="IU40" s="1325"/>
      <c r="IV40" s="1325"/>
    </row>
    <row r="41" spans="1:256" ht="31.5">
      <c r="A41" s="1365" t="s">
        <v>824</v>
      </c>
      <c r="B41" s="1366" t="s">
        <v>825</v>
      </c>
      <c r="C41" s="1367"/>
      <c r="D41" s="1367"/>
      <c r="E41" s="1325"/>
      <c r="F41" s="1325"/>
      <c r="G41" s="1325"/>
      <c r="H41" s="1325"/>
      <c r="I41" s="1325"/>
      <c r="J41" s="1325"/>
      <c r="K41" s="1325"/>
      <c r="L41" s="1325"/>
      <c r="M41" s="1325"/>
      <c r="N41" s="1325"/>
      <c r="O41" s="1325"/>
      <c r="P41" s="1325"/>
      <c r="Q41" s="1325"/>
      <c r="R41" s="1325"/>
      <c r="S41" s="1325"/>
      <c r="T41" s="1325"/>
      <c r="U41" s="1325"/>
      <c r="V41" s="1325"/>
      <c r="W41" s="1325"/>
      <c r="X41" s="1325"/>
      <c r="Y41" s="1325"/>
      <c r="Z41" s="1325"/>
      <c r="AA41" s="1325"/>
      <c r="AB41" s="1325"/>
      <c r="AC41" s="1325"/>
      <c r="AD41" s="1325"/>
      <c r="AE41" s="1325"/>
      <c r="AF41" s="1325"/>
      <c r="AG41" s="1325"/>
      <c r="AH41" s="1325"/>
      <c r="AI41" s="1325"/>
      <c r="AJ41" s="1325"/>
      <c r="AK41" s="1325"/>
      <c r="AL41" s="1325"/>
      <c r="AM41" s="1325"/>
      <c r="AN41" s="1325"/>
      <c r="AO41" s="1325"/>
      <c r="AP41" s="1325"/>
      <c r="AQ41" s="1325"/>
      <c r="AR41" s="1325"/>
      <c r="AS41" s="1325"/>
      <c r="AT41" s="1325"/>
      <c r="AU41" s="1325"/>
      <c r="AV41" s="1325"/>
      <c r="AW41" s="1325"/>
      <c r="AX41" s="1325"/>
      <c r="AY41" s="1325"/>
      <c r="AZ41" s="1325"/>
      <c r="BA41" s="1325"/>
      <c r="BB41" s="1325"/>
      <c r="BC41" s="1325"/>
      <c r="BD41" s="1325"/>
      <c r="BE41" s="1325"/>
      <c r="BF41" s="1325"/>
      <c r="BG41" s="1325"/>
      <c r="BH41" s="1325"/>
      <c r="BI41" s="1325"/>
      <c r="BJ41" s="1325"/>
      <c r="BK41" s="1325"/>
      <c r="BL41" s="1325"/>
      <c r="BM41" s="1325"/>
      <c r="BN41" s="1325"/>
      <c r="BO41" s="1325"/>
      <c r="BP41" s="1325"/>
      <c r="BQ41" s="1325"/>
      <c r="BR41" s="1325"/>
      <c r="BS41" s="1325"/>
      <c r="BT41" s="1325"/>
      <c r="BU41" s="1325"/>
      <c r="BV41" s="1325"/>
      <c r="BW41" s="1325"/>
      <c r="BX41" s="1325"/>
      <c r="BY41" s="1325"/>
      <c r="BZ41" s="1325"/>
      <c r="CA41" s="1325"/>
      <c r="CB41" s="1325"/>
      <c r="CC41" s="1325"/>
      <c r="CD41" s="1325"/>
      <c r="CE41" s="1325"/>
      <c r="CF41" s="1325"/>
      <c r="CG41" s="1325"/>
      <c r="CH41" s="1325"/>
      <c r="CI41" s="1325"/>
      <c r="CJ41" s="1325"/>
      <c r="CK41" s="1325"/>
      <c r="CL41" s="1325"/>
      <c r="CM41" s="1325"/>
      <c r="CN41" s="1325"/>
      <c r="CO41" s="1325"/>
      <c r="CP41" s="1325"/>
      <c r="CQ41" s="1325"/>
      <c r="CR41" s="1325"/>
      <c r="CS41" s="1325"/>
      <c r="CT41" s="1325"/>
      <c r="CU41" s="1325"/>
      <c r="CV41" s="1325"/>
      <c r="CW41" s="1325"/>
      <c r="CX41" s="1325"/>
      <c r="CY41" s="1325"/>
      <c r="CZ41" s="1325"/>
      <c r="DA41" s="1325"/>
      <c r="DB41" s="1325"/>
      <c r="DC41" s="1325"/>
      <c r="DD41" s="1325"/>
      <c r="DE41" s="1325"/>
      <c r="DF41" s="1325"/>
      <c r="DG41" s="1325"/>
      <c r="DH41" s="1325"/>
      <c r="DI41" s="1325"/>
      <c r="DJ41" s="1325"/>
      <c r="DK41" s="1325"/>
      <c r="DL41" s="1325"/>
      <c r="DM41" s="1325"/>
      <c r="DN41" s="1325"/>
      <c r="DO41" s="1325"/>
      <c r="DP41" s="1325"/>
      <c r="DQ41" s="1325"/>
      <c r="DR41" s="1325"/>
      <c r="DS41" s="1325"/>
      <c r="DT41" s="1325"/>
      <c r="DU41" s="1325"/>
      <c r="DV41" s="1325"/>
      <c r="DW41" s="1325"/>
      <c r="DX41" s="1325"/>
      <c r="DY41" s="1325"/>
      <c r="DZ41" s="1325"/>
      <c r="EA41" s="1325"/>
      <c r="EB41" s="1325"/>
      <c r="EC41" s="1325"/>
      <c r="ED41" s="1325"/>
      <c r="EE41" s="1325"/>
      <c r="EF41" s="1325"/>
      <c r="EG41" s="1325"/>
      <c r="EH41" s="1325"/>
      <c r="EI41" s="1325"/>
      <c r="EJ41" s="1325"/>
      <c r="EK41" s="1325"/>
      <c r="EL41" s="1325"/>
      <c r="EM41" s="1325"/>
      <c r="EN41" s="1325"/>
      <c r="EO41" s="1325"/>
      <c r="EP41" s="1325"/>
      <c r="EQ41" s="1325"/>
      <c r="ER41" s="1325"/>
      <c r="ES41" s="1325"/>
      <c r="ET41" s="1325"/>
      <c r="EU41" s="1325"/>
      <c r="EV41" s="1325"/>
      <c r="EW41" s="1325"/>
      <c r="EX41" s="1325"/>
      <c r="EY41" s="1325"/>
      <c r="EZ41" s="1325"/>
      <c r="FA41" s="1325"/>
      <c r="FB41" s="1325"/>
      <c r="FC41" s="1325"/>
      <c r="FD41" s="1325"/>
      <c r="FE41" s="1325"/>
      <c r="FF41" s="1325"/>
      <c r="FG41" s="1325"/>
      <c r="FH41" s="1325"/>
      <c r="FI41" s="1325"/>
      <c r="FJ41" s="1325"/>
      <c r="FK41" s="1325"/>
      <c r="FL41" s="1325"/>
      <c r="FM41" s="1325"/>
      <c r="FN41" s="1325"/>
      <c r="FO41" s="1325"/>
      <c r="FP41" s="1325"/>
      <c r="FQ41" s="1325"/>
      <c r="FR41" s="1325"/>
      <c r="FS41" s="1325"/>
      <c r="FT41" s="1325"/>
      <c r="FU41" s="1325"/>
      <c r="FV41" s="1325"/>
      <c r="FW41" s="1325"/>
      <c r="FX41" s="1325"/>
      <c r="FY41" s="1325"/>
      <c r="FZ41" s="1325"/>
      <c r="GA41" s="1325"/>
      <c r="GB41" s="1325"/>
      <c r="GC41" s="1325"/>
      <c r="GD41" s="1325"/>
      <c r="GE41" s="1325"/>
      <c r="GF41" s="1325"/>
      <c r="GG41" s="1325"/>
      <c r="GH41" s="1325"/>
      <c r="GI41" s="1325"/>
      <c r="GJ41" s="1325"/>
      <c r="GK41" s="1325"/>
      <c r="GL41" s="1325"/>
      <c r="GM41" s="1325"/>
      <c r="GN41" s="1325"/>
      <c r="GO41" s="1325"/>
      <c r="GP41" s="1325"/>
      <c r="GQ41" s="1325"/>
      <c r="GR41" s="1325"/>
      <c r="GS41" s="1325"/>
      <c r="GT41" s="1325"/>
      <c r="GU41" s="1325"/>
      <c r="GV41" s="1325"/>
      <c r="GW41" s="1325"/>
      <c r="GX41" s="1325"/>
      <c r="GY41" s="1325"/>
      <c r="GZ41" s="1325"/>
      <c r="HA41" s="1325"/>
      <c r="HB41" s="1325"/>
      <c r="HC41" s="1325"/>
      <c r="HD41" s="1325"/>
      <c r="HE41" s="1325"/>
      <c r="HF41" s="1325"/>
      <c r="HG41" s="1325"/>
      <c r="HH41" s="1325"/>
      <c r="HI41" s="1325"/>
      <c r="HJ41" s="1325"/>
      <c r="HK41" s="1325"/>
      <c r="HL41" s="1325"/>
      <c r="HM41" s="1325"/>
      <c r="HN41" s="1325"/>
      <c r="HO41" s="1325"/>
      <c r="HP41" s="1325"/>
      <c r="HQ41" s="1325"/>
      <c r="HR41" s="1325"/>
      <c r="HS41" s="1325"/>
      <c r="HT41" s="1325"/>
      <c r="HU41" s="1325"/>
      <c r="HV41" s="1325"/>
      <c r="HW41" s="1325"/>
      <c r="HX41" s="1325"/>
      <c r="HY41" s="1325"/>
      <c r="HZ41" s="1325"/>
      <c r="IA41" s="1325"/>
      <c r="IB41" s="1325"/>
      <c r="IC41" s="1325"/>
      <c r="ID41" s="1325"/>
      <c r="IE41" s="1325"/>
      <c r="IF41" s="1325"/>
      <c r="IG41" s="1325"/>
      <c r="IH41" s="1325"/>
      <c r="II41" s="1325"/>
      <c r="IJ41" s="1325"/>
      <c r="IK41" s="1325"/>
      <c r="IL41" s="1325"/>
      <c r="IM41" s="1325"/>
      <c r="IN41" s="1325"/>
      <c r="IO41" s="1325"/>
      <c r="IP41" s="1325"/>
      <c r="IQ41" s="1325"/>
      <c r="IR41" s="1325"/>
      <c r="IS41" s="1325"/>
      <c r="IT41" s="1325"/>
      <c r="IU41" s="1325"/>
      <c r="IV41" s="1325"/>
    </row>
    <row r="42" spans="1:256" ht="15.75">
      <c r="A42" s="1365" t="s">
        <v>826</v>
      </c>
      <c r="B42" s="1366" t="s">
        <v>827</v>
      </c>
      <c r="C42" s="1367"/>
      <c r="D42" s="1367"/>
      <c r="E42" s="1325"/>
      <c r="F42" s="1325"/>
      <c r="G42" s="1325"/>
      <c r="H42" s="1325"/>
      <c r="I42" s="1325"/>
      <c r="J42" s="1325"/>
      <c r="K42" s="1325"/>
      <c r="L42" s="1325"/>
      <c r="M42" s="1325"/>
      <c r="N42" s="1325"/>
      <c r="O42" s="1325"/>
      <c r="P42" s="1325"/>
      <c r="Q42" s="1325"/>
      <c r="R42" s="1325"/>
      <c r="S42" s="1325"/>
      <c r="T42" s="1325"/>
      <c r="U42" s="1325"/>
      <c r="V42" s="1325"/>
      <c r="W42" s="1325"/>
      <c r="X42" s="1325"/>
      <c r="Y42" s="1325"/>
      <c r="Z42" s="1325"/>
      <c r="AA42" s="1325"/>
      <c r="AB42" s="1325"/>
      <c r="AC42" s="1325"/>
      <c r="AD42" s="1325"/>
      <c r="AE42" s="1325"/>
      <c r="AF42" s="1325"/>
      <c r="AG42" s="1325"/>
      <c r="AH42" s="1325"/>
      <c r="AI42" s="1325"/>
      <c r="AJ42" s="1325"/>
      <c r="AK42" s="1325"/>
      <c r="AL42" s="1325"/>
      <c r="AM42" s="1325"/>
      <c r="AN42" s="1325"/>
      <c r="AO42" s="1325"/>
      <c r="AP42" s="1325"/>
      <c r="AQ42" s="1325"/>
      <c r="AR42" s="1325"/>
      <c r="AS42" s="1325"/>
      <c r="AT42" s="1325"/>
      <c r="AU42" s="1325"/>
      <c r="AV42" s="1325"/>
      <c r="AW42" s="1325"/>
      <c r="AX42" s="1325"/>
      <c r="AY42" s="1325"/>
      <c r="AZ42" s="1325"/>
      <c r="BA42" s="1325"/>
      <c r="BB42" s="1325"/>
      <c r="BC42" s="1325"/>
      <c r="BD42" s="1325"/>
      <c r="BE42" s="1325"/>
      <c r="BF42" s="1325"/>
      <c r="BG42" s="1325"/>
      <c r="BH42" s="1325"/>
      <c r="BI42" s="1325"/>
      <c r="BJ42" s="1325"/>
      <c r="BK42" s="1325"/>
      <c r="BL42" s="1325"/>
      <c r="BM42" s="1325"/>
      <c r="BN42" s="1325"/>
      <c r="BO42" s="1325"/>
      <c r="BP42" s="1325"/>
      <c r="BQ42" s="1325"/>
      <c r="BR42" s="1325"/>
      <c r="BS42" s="1325"/>
      <c r="BT42" s="1325"/>
      <c r="BU42" s="1325"/>
      <c r="BV42" s="1325"/>
      <c r="BW42" s="1325"/>
      <c r="BX42" s="1325"/>
      <c r="BY42" s="1325"/>
      <c r="BZ42" s="1325"/>
      <c r="CA42" s="1325"/>
      <c r="CB42" s="1325"/>
      <c r="CC42" s="1325"/>
      <c r="CD42" s="1325"/>
      <c r="CE42" s="1325"/>
      <c r="CF42" s="1325"/>
      <c r="CG42" s="1325"/>
      <c r="CH42" s="1325"/>
      <c r="CI42" s="1325"/>
      <c r="CJ42" s="1325"/>
      <c r="CK42" s="1325"/>
      <c r="CL42" s="1325"/>
      <c r="CM42" s="1325"/>
      <c r="CN42" s="1325"/>
      <c r="CO42" s="1325"/>
      <c r="CP42" s="1325"/>
      <c r="CQ42" s="1325"/>
      <c r="CR42" s="1325"/>
      <c r="CS42" s="1325"/>
      <c r="CT42" s="1325"/>
      <c r="CU42" s="1325"/>
      <c r="CV42" s="1325"/>
      <c r="CW42" s="1325"/>
      <c r="CX42" s="1325"/>
      <c r="CY42" s="1325"/>
      <c r="CZ42" s="1325"/>
      <c r="DA42" s="1325"/>
      <c r="DB42" s="1325"/>
      <c r="DC42" s="1325"/>
      <c r="DD42" s="1325"/>
      <c r="DE42" s="1325"/>
      <c r="DF42" s="1325"/>
      <c r="DG42" s="1325"/>
      <c r="DH42" s="1325"/>
      <c r="DI42" s="1325"/>
      <c r="DJ42" s="1325"/>
      <c r="DK42" s="1325"/>
      <c r="DL42" s="1325"/>
      <c r="DM42" s="1325"/>
      <c r="DN42" s="1325"/>
      <c r="DO42" s="1325"/>
      <c r="DP42" s="1325"/>
      <c r="DQ42" s="1325"/>
      <c r="DR42" s="1325"/>
      <c r="DS42" s="1325"/>
      <c r="DT42" s="1325"/>
      <c r="DU42" s="1325"/>
      <c r="DV42" s="1325"/>
      <c r="DW42" s="1325"/>
      <c r="DX42" s="1325"/>
      <c r="DY42" s="1325"/>
      <c r="DZ42" s="1325"/>
      <c r="EA42" s="1325"/>
      <c r="EB42" s="1325"/>
      <c r="EC42" s="1325"/>
      <c r="ED42" s="1325"/>
      <c r="EE42" s="1325"/>
      <c r="EF42" s="1325"/>
      <c r="EG42" s="1325"/>
      <c r="EH42" s="1325"/>
      <c r="EI42" s="1325"/>
      <c r="EJ42" s="1325"/>
      <c r="EK42" s="1325"/>
      <c r="EL42" s="1325"/>
      <c r="EM42" s="1325"/>
      <c r="EN42" s="1325"/>
      <c r="EO42" s="1325"/>
      <c r="EP42" s="1325"/>
      <c r="EQ42" s="1325"/>
      <c r="ER42" s="1325"/>
      <c r="ES42" s="1325"/>
      <c r="ET42" s="1325"/>
      <c r="EU42" s="1325"/>
      <c r="EV42" s="1325"/>
      <c r="EW42" s="1325"/>
      <c r="EX42" s="1325"/>
      <c r="EY42" s="1325"/>
      <c r="EZ42" s="1325"/>
      <c r="FA42" s="1325"/>
      <c r="FB42" s="1325"/>
      <c r="FC42" s="1325"/>
      <c r="FD42" s="1325"/>
      <c r="FE42" s="1325"/>
      <c r="FF42" s="1325"/>
      <c r="FG42" s="1325"/>
      <c r="FH42" s="1325"/>
      <c r="FI42" s="1325"/>
      <c r="FJ42" s="1325"/>
      <c r="FK42" s="1325"/>
      <c r="FL42" s="1325"/>
      <c r="FM42" s="1325"/>
      <c r="FN42" s="1325"/>
      <c r="FO42" s="1325"/>
      <c r="FP42" s="1325"/>
      <c r="FQ42" s="1325"/>
      <c r="FR42" s="1325"/>
      <c r="FS42" s="1325"/>
      <c r="FT42" s="1325"/>
      <c r="FU42" s="1325"/>
      <c r="FV42" s="1325"/>
      <c r="FW42" s="1325"/>
      <c r="FX42" s="1325"/>
      <c r="FY42" s="1325"/>
      <c r="FZ42" s="1325"/>
      <c r="GA42" s="1325"/>
      <c r="GB42" s="1325"/>
      <c r="GC42" s="1325"/>
      <c r="GD42" s="1325"/>
      <c r="GE42" s="1325"/>
      <c r="GF42" s="1325"/>
      <c r="GG42" s="1325"/>
      <c r="GH42" s="1325"/>
      <c r="GI42" s="1325"/>
      <c r="GJ42" s="1325"/>
      <c r="GK42" s="1325"/>
      <c r="GL42" s="1325"/>
      <c r="GM42" s="1325"/>
      <c r="GN42" s="1325"/>
      <c r="GO42" s="1325"/>
      <c r="GP42" s="1325"/>
      <c r="GQ42" s="1325"/>
      <c r="GR42" s="1325"/>
      <c r="GS42" s="1325"/>
      <c r="GT42" s="1325"/>
      <c r="GU42" s="1325"/>
      <c r="GV42" s="1325"/>
      <c r="GW42" s="1325"/>
      <c r="GX42" s="1325"/>
      <c r="GY42" s="1325"/>
      <c r="GZ42" s="1325"/>
      <c r="HA42" s="1325"/>
      <c r="HB42" s="1325"/>
      <c r="HC42" s="1325"/>
      <c r="HD42" s="1325"/>
      <c r="HE42" s="1325"/>
      <c r="HF42" s="1325"/>
      <c r="HG42" s="1325"/>
      <c r="HH42" s="1325"/>
      <c r="HI42" s="1325"/>
      <c r="HJ42" s="1325"/>
      <c r="HK42" s="1325"/>
      <c r="HL42" s="1325"/>
      <c r="HM42" s="1325"/>
      <c r="HN42" s="1325"/>
      <c r="HO42" s="1325"/>
      <c r="HP42" s="1325"/>
      <c r="HQ42" s="1325"/>
      <c r="HR42" s="1325"/>
      <c r="HS42" s="1325"/>
      <c r="HT42" s="1325"/>
      <c r="HU42" s="1325"/>
      <c r="HV42" s="1325"/>
      <c r="HW42" s="1325"/>
      <c r="HX42" s="1325"/>
      <c r="HY42" s="1325"/>
      <c r="HZ42" s="1325"/>
      <c r="IA42" s="1325"/>
      <c r="IB42" s="1325"/>
      <c r="IC42" s="1325"/>
      <c r="ID42" s="1325"/>
      <c r="IE42" s="1325"/>
      <c r="IF42" s="1325"/>
      <c r="IG42" s="1325"/>
      <c r="IH42" s="1325"/>
      <c r="II42" s="1325"/>
      <c r="IJ42" s="1325"/>
      <c r="IK42" s="1325"/>
      <c r="IL42" s="1325"/>
      <c r="IM42" s="1325"/>
      <c r="IN42" s="1325"/>
      <c r="IO42" s="1325"/>
      <c r="IP42" s="1325"/>
      <c r="IQ42" s="1325"/>
      <c r="IR42" s="1325"/>
      <c r="IS42" s="1325"/>
      <c r="IT42" s="1325"/>
      <c r="IU42" s="1325"/>
      <c r="IV42" s="1325"/>
    </row>
    <row r="43" spans="1:256" ht="15.75">
      <c r="A43" s="1365" t="s">
        <v>828</v>
      </c>
      <c r="B43" s="1366" t="s">
        <v>829</v>
      </c>
      <c r="C43" s="1367"/>
      <c r="D43" s="1367"/>
      <c r="E43" s="1325"/>
      <c r="F43" s="1325"/>
      <c r="G43" s="1325"/>
      <c r="H43" s="1325"/>
      <c r="I43" s="1325"/>
      <c r="J43" s="1325"/>
      <c r="K43" s="1325"/>
      <c r="L43" s="1325"/>
      <c r="M43" s="1325"/>
      <c r="N43" s="1325"/>
      <c r="O43" s="1325"/>
      <c r="P43" s="1325"/>
      <c r="Q43" s="1325"/>
      <c r="R43" s="1325"/>
      <c r="S43" s="1325"/>
      <c r="T43" s="1325"/>
      <c r="U43" s="1325"/>
      <c r="V43" s="1325"/>
      <c r="W43" s="1325"/>
      <c r="X43" s="1325"/>
      <c r="Y43" s="1325"/>
      <c r="Z43" s="1325"/>
      <c r="AA43" s="1325"/>
      <c r="AB43" s="1325"/>
      <c r="AC43" s="1325"/>
      <c r="AD43" s="1325"/>
      <c r="AE43" s="1325"/>
      <c r="AF43" s="1325"/>
      <c r="AG43" s="1325"/>
      <c r="AH43" s="1325"/>
      <c r="AI43" s="1325"/>
      <c r="AJ43" s="1325"/>
      <c r="AK43" s="1325"/>
      <c r="AL43" s="1325"/>
      <c r="AM43" s="1325"/>
      <c r="AN43" s="1325"/>
      <c r="AO43" s="1325"/>
      <c r="AP43" s="1325"/>
      <c r="AQ43" s="1325"/>
      <c r="AR43" s="1325"/>
      <c r="AS43" s="1325"/>
      <c r="AT43" s="1325"/>
      <c r="AU43" s="1325"/>
      <c r="AV43" s="1325"/>
      <c r="AW43" s="1325"/>
      <c r="AX43" s="1325"/>
      <c r="AY43" s="1325"/>
      <c r="AZ43" s="1325"/>
      <c r="BA43" s="1325"/>
      <c r="BB43" s="1325"/>
      <c r="BC43" s="1325"/>
      <c r="BD43" s="1325"/>
      <c r="BE43" s="1325"/>
      <c r="BF43" s="1325"/>
      <c r="BG43" s="1325"/>
      <c r="BH43" s="1325"/>
      <c r="BI43" s="1325"/>
      <c r="BJ43" s="1325"/>
      <c r="BK43" s="1325"/>
      <c r="BL43" s="1325"/>
      <c r="BM43" s="1325"/>
      <c r="BN43" s="1325"/>
      <c r="BO43" s="1325"/>
      <c r="BP43" s="1325"/>
      <c r="BQ43" s="1325"/>
      <c r="BR43" s="1325"/>
      <c r="BS43" s="1325"/>
      <c r="BT43" s="1325"/>
      <c r="BU43" s="1325"/>
      <c r="BV43" s="1325"/>
      <c r="BW43" s="1325"/>
      <c r="BX43" s="1325"/>
      <c r="BY43" s="1325"/>
      <c r="BZ43" s="1325"/>
      <c r="CA43" s="1325"/>
      <c r="CB43" s="1325"/>
      <c r="CC43" s="1325"/>
      <c r="CD43" s="1325"/>
      <c r="CE43" s="1325"/>
      <c r="CF43" s="1325"/>
      <c r="CG43" s="1325"/>
      <c r="CH43" s="1325"/>
      <c r="CI43" s="1325"/>
      <c r="CJ43" s="1325"/>
      <c r="CK43" s="1325"/>
      <c r="CL43" s="1325"/>
      <c r="CM43" s="1325"/>
      <c r="CN43" s="1325"/>
      <c r="CO43" s="1325"/>
      <c r="CP43" s="1325"/>
      <c r="CQ43" s="1325"/>
      <c r="CR43" s="1325"/>
      <c r="CS43" s="1325"/>
      <c r="CT43" s="1325"/>
      <c r="CU43" s="1325"/>
      <c r="CV43" s="1325"/>
      <c r="CW43" s="1325"/>
      <c r="CX43" s="1325"/>
      <c r="CY43" s="1325"/>
      <c r="CZ43" s="1325"/>
      <c r="DA43" s="1325"/>
      <c r="DB43" s="1325"/>
      <c r="DC43" s="1325"/>
      <c r="DD43" s="1325"/>
      <c r="DE43" s="1325"/>
      <c r="DF43" s="1325"/>
      <c r="DG43" s="1325"/>
      <c r="DH43" s="1325"/>
      <c r="DI43" s="1325"/>
      <c r="DJ43" s="1325"/>
      <c r="DK43" s="1325"/>
      <c r="DL43" s="1325"/>
      <c r="DM43" s="1325"/>
      <c r="DN43" s="1325"/>
      <c r="DO43" s="1325"/>
      <c r="DP43" s="1325"/>
      <c r="DQ43" s="1325"/>
      <c r="DR43" s="1325"/>
      <c r="DS43" s="1325"/>
      <c r="DT43" s="1325"/>
      <c r="DU43" s="1325"/>
      <c r="DV43" s="1325"/>
      <c r="DW43" s="1325"/>
      <c r="DX43" s="1325"/>
      <c r="DY43" s="1325"/>
      <c r="DZ43" s="1325"/>
      <c r="EA43" s="1325"/>
      <c r="EB43" s="1325"/>
      <c r="EC43" s="1325"/>
      <c r="ED43" s="1325"/>
      <c r="EE43" s="1325"/>
      <c r="EF43" s="1325"/>
      <c r="EG43" s="1325"/>
      <c r="EH43" s="1325"/>
      <c r="EI43" s="1325"/>
      <c r="EJ43" s="1325"/>
      <c r="EK43" s="1325"/>
      <c r="EL43" s="1325"/>
      <c r="EM43" s="1325"/>
      <c r="EN43" s="1325"/>
      <c r="EO43" s="1325"/>
      <c r="EP43" s="1325"/>
      <c r="EQ43" s="1325"/>
      <c r="ER43" s="1325"/>
      <c r="ES43" s="1325"/>
      <c r="ET43" s="1325"/>
      <c r="EU43" s="1325"/>
      <c r="EV43" s="1325"/>
      <c r="EW43" s="1325"/>
      <c r="EX43" s="1325"/>
      <c r="EY43" s="1325"/>
      <c r="EZ43" s="1325"/>
      <c r="FA43" s="1325"/>
      <c r="FB43" s="1325"/>
      <c r="FC43" s="1325"/>
      <c r="FD43" s="1325"/>
      <c r="FE43" s="1325"/>
      <c r="FF43" s="1325"/>
      <c r="FG43" s="1325"/>
      <c r="FH43" s="1325"/>
      <c r="FI43" s="1325"/>
      <c r="FJ43" s="1325"/>
      <c r="FK43" s="1325"/>
      <c r="FL43" s="1325"/>
      <c r="FM43" s="1325"/>
      <c r="FN43" s="1325"/>
      <c r="FO43" s="1325"/>
      <c r="FP43" s="1325"/>
      <c r="FQ43" s="1325"/>
      <c r="FR43" s="1325"/>
      <c r="FS43" s="1325"/>
      <c r="FT43" s="1325"/>
      <c r="FU43" s="1325"/>
      <c r="FV43" s="1325"/>
      <c r="FW43" s="1325"/>
      <c r="FX43" s="1325"/>
      <c r="FY43" s="1325"/>
      <c r="FZ43" s="1325"/>
      <c r="GA43" s="1325"/>
      <c r="GB43" s="1325"/>
      <c r="GC43" s="1325"/>
      <c r="GD43" s="1325"/>
      <c r="GE43" s="1325"/>
      <c r="GF43" s="1325"/>
      <c r="GG43" s="1325"/>
      <c r="GH43" s="1325"/>
      <c r="GI43" s="1325"/>
      <c r="GJ43" s="1325"/>
      <c r="GK43" s="1325"/>
      <c r="GL43" s="1325"/>
      <c r="GM43" s="1325"/>
      <c r="GN43" s="1325"/>
      <c r="GO43" s="1325"/>
      <c r="GP43" s="1325"/>
      <c r="GQ43" s="1325"/>
      <c r="GR43" s="1325"/>
      <c r="GS43" s="1325"/>
      <c r="GT43" s="1325"/>
      <c r="GU43" s="1325"/>
      <c r="GV43" s="1325"/>
      <c r="GW43" s="1325"/>
      <c r="GX43" s="1325"/>
      <c r="GY43" s="1325"/>
      <c r="GZ43" s="1325"/>
      <c r="HA43" s="1325"/>
      <c r="HB43" s="1325"/>
      <c r="HC43" s="1325"/>
      <c r="HD43" s="1325"/>
      <c r="HE43" s="1325"/>
      <c r="HF43" s="1325"/>
      <c r="HG43" s="1325"/>
      <c r="HH43" s="1325"/>
      <c r="HI43" s="1325"/>
      <c r="HJ43" s="1325"/>
      <c r="HK43" s="1325"/>
      <c r="HL43" s="1325"/>
      <c r="HM43" s="1325"/>
      <c r="HN43" s="1325"/>
      <c r="HO43" s="1325"/>
      <c r="HP43" s="1325"/>
      <c r="HQ43" s="1325"/>
      <c r="HR43" s="1325"/>
      <c r="HS43" s="1325"/>
      <c r="HT43" s="1325"/>
      <c r="HU43" s="1325"/>
      <c r="HV43" s="1325"/>
      <c r="HW43" s="1325"/>
      <c r="HX43" s="1325"/>
      <c r="HY43" s="1325"/>
      <c r="HZ43" s="1325"/>
      <c r="IA43" s="1325"/>
      <c r="IB43" s="1325"/>
      <c r="IC43" s="1325"/>
      <c r="ID43" s="1325"/>
      <c r="IE43" s="1325"/>
      <c r="IF43" s="1325"/>
      <c r="IG43" s="1325"/>
      <c r="IH43" s="1325"/>
      <c r="II43" s="1325"/>
      <c r="IJ43" s="1325"/>
      <c r="IK43" s="1325"/>
      <c r="IL43" s="1325"/>
      <c r="IM43" s="1325"/>
      <c r="IN43" s="1325"/>
      <c r="IO43" s="1325"/>
      <c r="IP43" s="1325"/>
      <c r="IQ43" s="1325"/>
      <c r="IR43" s="1325"/>
      <c r="IS43" s="1325"/>
      <c r="IT43" s="1325"/>
      <c r="IU43" s="1325"/>
      <c r="IV43" s="1325"/>
    </row>
    <row r="44" spans="1:256" ht="31.5">
      <c r="A44" s="1368" t="s">
        <v>830</v>
      </c>
      <c r="B44" s="1369" t="s">
        <v>831</v>
      </c>
      <c r="C44" s="1372"/>
      <c r="D44" s="1372"/>
      <c r="E44" s="1325"/>
      <c r="F44" s="1325"/>
      <c r="G44" s="1325"/>
      <c r="H44" s="1325"/>
      <c r="I44" s="1325"/>
      <c r="J44" s="1325"/>
      <c r="K44" s="1325"/>
      <c r="L44" s="1325"/>
      <c r="M44" s="1325"/>
      <c r="N44" s="1325"/>
      <c r="O44" s="1325"/>
      <c r="P44" s="1325"/>
      <c r="Q44" s="1325"/>
      <c r="R44" s="1325"/>
      <c r="S44" s="1325"/>
      <c r="T44" s="1325"/>
      <c r="U44" s="1325"/>
      <c r="V44" s="1325"/>
      <c r="W44" s="1325"/>
      <c r="X44" s="1325"/>
      <c r="Y44" s="1325"/>
      <c r="Z44" s="1325"/>
      <c r="AA44" s="1325"/>
      <c r="AB44" s="1325"/>
      <c r="AC44" s="1325"/>
      <c r="AD44" s="1325"/>
      <c r="AE44" s="1325"/>
      <c r="AF44" s="1325"/>
      <c r="AG44" s="1325"/>
      <c r="AH44" s="1325"/>
      <c r="AI44" s="1325"/>
      <c r="AJ44" s="1325"/>
      <c r="AK44" s="1325"/>
      <c r="AL44" s="1325"/>
      <c r="AM44" s="1325"/>
      <c r="AN44" s="1325"/>
      <c r="AO44" s="1325"/>
      <c r="AP44" s="1325"/>
      <c r="AQ44" s="1325"/>
      <c r="AR44" s="1325"/>
      <c r="AS44" s="1325"/>
      <c r="AT44" s="1325"/>
      <c r="AU44" s="1325"/>
      <c r="AV44" s="1325"/>
      <c r="AW44" s="1325"/>
      <c r="AX44" s="1325"/>
      <c r="AY44" s="1325"/>
      <c r="AZ44" s="1325"/>
      <c r="BA44" s="1325"/>
      <c r="BB44" s="1325"/>
      <c r="BC44" s="1325"/>
      <c r="BD44" s="1325"/>
      <c r="BE44" s="1325"/>
      <c r="BF44" s="1325"/>
      <c r="BG44" s="1325"/>
      <c r="BH44" s="1325"/>
      <c r="BI44" s="1325"/>
      <c r="BJ44" s="1325"/>
      <c r="BK44" s="1325"/>
      <c r="BL44" s="1325"/>
      <c r="BM44" s="1325"/>
      <c r="BN44" s="1325"/>
      <c r="BO44" s="1325"/>
      <c r="BP44" s="1325"/>
      <c r="BQ44" s="1325"/>
      <c r="BR44" s="1325"/>
      <c r="BS44" s="1325"/>
      <c r="BT44" s="1325"/>
      <c r="BU44" s="1325"/>
      <c r="BV44" s="1325"/>
      <c r="BW44" s="1325"/>
      <c r="BX44" s="1325"/>
      <c r="BY44" s="1325"/>
      <c r="BZ44" s="1325"/>
      <c r="CA44" s="1325"/>
      <c r="CB44" s="1325"/>
      <c r="CC44" s="1325"/>
      <c r="CD44" s="1325"/>
      <c r="CE44" s="1325"/>
      <c r="CF44" s="1325"/>
      <c r="CG44" s="1325"/>
      <c r="CH44" s="1325"/>
      <c r="CI44" s="1325"/>
      <c r="CJ44" s="1325"/>
      <c r="CK44" s="1325"/>
      <c r="CL44" s="1325"/>
      <c r="CM44" s="1325"/>
      <c r="CN44" s="1325"/>
      <c r="CO44" s="1325"/>
      <c r="CP44" s="1325"/>
      <c r="CQ44" s="1325"/>
      <c r="CR44" s="1325"/>
      <c r="CS44" s="1325"/>
      <c r="CT44" s="1325"/>
      <c r="CU44" s="1325"/>
      <c r="CV44" s="1325"/>
      <c r="CW44" s="1325"/>
      <c r="CX44" s="1325"/>
      <c r="CY44" s="1325"/>
      <c r="CZ44" s="1325"/>
      <c r="DA44" s="1325"/>
      <c r="DB44" s="1325"/>
      <c r="DC44" s="1325"/>
      <c r="DD44" s="1325"/>
      <c r="DE44" s="1325"/>
      <c r="DF44" s="1325"/>
      <c r="DG44" s="1325"/>
      <c r="DH44" s="1325"/>
      <c r="DI44" s="1325"/>
      <c r="DJ44" s="1325"/>
      <c r="DK44" s="1325"/>
      <c r="DL44" s="1325"/>
      <c r="DM44" s="1325"/>
      <c r="DN44" s="1325"/>
      <c r="DO44" s="1325"/>
      <c r="DP44" s="1325"/>
      <c r="DQ44" s="1325"/>
      <c r="DR44" s="1325"/>
      <c r="DS44" s="1325"/>
      <c r="DT44" s="1325"/>
      <c r="DU44" s="1325"/>
      <c r="DV44" s="1325"/>
      <c r="DW44" s="1325"/>
      <c r="DX44" s="1325"/>
      <c r="DY44" s="1325"/>
      <c r="DZ44" s="1325"/>
      <c r="EA44" s="1325"/>
      <c r="EB44" s="1325"/>
      <c r="EC44" s="1325"/>
      <c r="ED44" s="1325"/>
      <c r="EE44" s="1325"/>
      <c r="EF44" s="1325"/>
      <c r="EG44" s="1325"/>
      <c r="EH44" s="1325"/>
      <c r="EI44" s="1325"/>
      <c r="EJ44" s="1325"/>
      <c r="EK44" s="1325"/>
      <c r="EL44" s="1325"/>
      <c r="EM44" s="1325"/>
      <c r="EN44" s="1325"/>
      <c r="EO44" s="1325"/>
      <c r="EP44" s="1325"/>
      <c r="EQ44" s="1325"/>
      <c r="ER44" s="1325"/>
      <c r="ES44" s="1325"/>
      <c r="ET44" s="1325"/>
      <c r="EU44" s="1325"/>
      <c r="EV44" s="1325"/>
      <c r="EW44" s="1325"/>
      <c r="EX44" s="1325"/>
      <c r="EY44" s="1325"/>
      <c r="EZ44" s="1325"/>
      <c r="FA44" s="1325"/>
      <c r="FB44" s="1325"/>
      <c r="FC44" s="1325"/>
      <c r="FD44" s="1325"/>
      <c r="FE44" s="1325"/>
      <c r="FF44" s="1325"/>
      <c r="FG44" s="1325"/>
      <c r="FH44" s="1325"/>
      <c r="FI44" s="1325"/>
      <c r="FJ44" s="1325"/>
      <c r="FK44" s="1325"/>
      <c r="FL44" s="1325"/>
      <c r="FM44" s="1325"/>
      <c r="FN44" s="1325"/>
      <c r="FO44" s="1325"/>
      <c r="FP44" s="1325"/>
      <c r="FQ44" s="1325"/>
      <c r="FR44" s="1325"/>
      <c r="FS44" s="1325"/>
      <c r="FT44" s="1325"/>
      <c r="FU44" s="1325"/>
      <c r="FV44" s="1325"/>
      <c r="FW44" s="1325"/>
      <c r="FX44" s="1325"/>
      <c r="FY44" s="1325"/>
      <c r="FZ44" s="1325"/>
      <c r="GA44" s="1325"/>
      <c r="GB44" s="1325"/>
      <c r="GC44" s="1325"/>
      <c r="GD44" s="1325"/>
      <c r="GE44" s="1325"/>
      <c r="GF44" s="1325"/>
      <c r="GG44" s="1325"/>
      <c r="GH44" s="1325"/>
      <c r="GI44" s="1325"/>
      <c r="GJ44" s="1325"/>
      <c r="GK44" s="1325"/>
      <c r="GL44" s="1325"/>
      <c r="GM44" s="1325"/>
      <c r="GN44" s="1325"/>
      <c r="GO44" s="1325"/>
      <c r="GP44" s="1325"/>
      <c r="GQ44" s="1325"/>
      <c r="GR44" s="1325"/>
      <c r="GS44" s="1325"/>
      <c r="GT44" s="1325"/>
      <c r="GU44" s="1325"/>
      <c r="GV44" s="1325"/>
      <c r="GW44" s="1325"/>
      <c r="GX44" s="1325"/>
      <c r="GY44" s="1325"/>
      <c r="GZ44" s="1325"/>
      <c r="HA44" s="1325"/>
      <c r="HB44" s="1325"/>
      <c r="HC44" s="1325"/>
      <c r="HD44" s="1325"/>
      <c r="HE44" s="1325"/>
      <c r="HF44" s="1325"/>
      <c r="HG44" s="1325"/>
      <c r="HH44" s="1325"/>
      <c r="HI44" s="1325"/>
      <c r="HJ44" s="1325"/>
      <c r="HK44" s="1325"/>
      <c r="HL44" s="1325"/>
      <c r="HM44" s="1325"/>
      <c r="HN44" s="1325"/>
      <c r="HO44" s="1325"/>
      <c r="HP44" s="1325"/>
      <c r="HQ44" s="1325"/>
      <c r="HR44" s="1325"/>
      <c r="HS44" s="1325"/>
      <c r="HT44" s="1325"/>
      <c r="HU44" s="1325"/>
      <c r="HV44" s="1325"/>
      <c r="HW44" s="1325"/>
      <c r="HX44" s="1325"/>
      <c r="HY44" s="1325"/>
      <c r="HZ44" s="1325"/>
      <c r="IA44" s="1325"/>
      <c r="IB44" s="1325"/>
      <c r="IC44" s="1325"/>
      <c r="ID44" s="1325"/>
      <c r="IE44" s="1325"/>
      <c r="IF44" s="1325"/>
      <c r="IG44" s="1325"/>
      <c r="IH44" s="1325"/>
      <c r="II44" s="1325"/>
      <c r="IJ44" s="1325"/>
      <c r="IK44" s="1325"/>
      <c r="IL44" s="1325"/>
      <c r="IM44" s="1325"/>
      <c r="IN44" s="1325"/>
      <c r="IO44" s="1325"/>
      <c r="IP44" s="1325"/>
      <c r="IQ44" s="1325"/>
      <c r="IR44" s="1325"/>
      <c r="IS44" s="1325"/>
      <c r="IT44" s="1325"/>
      <c r="IU44" s="1325"/>
      <c r="IV44" s="1325"/>
    </row>
    <row r="45" spans="1:256" ht="31.5">
      <c r="A45" s="1365" t="s">
        <v>832</v>
      </c>
      <c r="B45" s="1366" t="s">
        <v>833</v>
      </c>
      <c r="C45" s="1367"/>
      <c r="D45" s="1367"/>
      <c r="E45" s="1325"/>
      <c r="F45" s="1325"/>
      <c r="G45" s="1325"/>
      <c r="H45" s="1325"/>
      <c r="I45" s="1325"/>
      <c r="J45" s="1325"/>
      <c r="K45" s="1325"/>
      <c r="L45" s="1325"/>
      <c r="M45" s="1325"/>
      <c r="N45" s="1325"/>
      <c r="O45" s="1325"/>
      <c r="P45" s="1325"/>
      <c r="Q45" s="1325"/>
      <c r="R45" s="1325"/>
      <c r="S45" s="1325"/>
      <c r="T45" s="1325"/>
      <c r="U45" s="1325"/>
      <c r="V45" s="1325"/>
      <c r="W45" s="1325"/>
      <c r="X45" s="1325"/>
      <c r="Y45" s="1325"/>
      <c r="Z45" s="1325"/>
      <c r="AA45" s="1325"/>
      <c r="AB45" s="1325"/>
      <c r="AC45" s="1325"/>
      <c r="AD45" s="1325"/>
      <c r="AE45" s="1325"/>
      <c r="AF45" s="1325"/>
      <c r="AG45" s="1325"/>
      <c r="AH45" s="1325"/>
      <c r="AI45" s="1325"/>
      <c r="AJ45" s="1325"/>
      <c r="AK45" s="1325"/>
      <c r="AL45" s="1325"/>
      <c r="AM45" s="1325"/>
      <c r="AN45" s="1325"/>
      <c r="AO45" s="1325"/>
      <c r="AP45" s="1325"/>
      <c r="AQ45" s="1325"/>
      <c r="AR45" s="1325"/>
      <c r="AS45" s="1325"/>
      <c r="AT45" s="1325"/>
      <c r="AU45" s="1325"/>
      <c r="AV45" s="1325"/>
      <c r="AW45" s="1325"/>
      <c r="AX45" s="1325"/>
      <c r="AY45" s="1325"/>
      <c r="AZ45" s="1325"/>
      <c r="BA45" s="1325"/>
      <c r="BB45" s="1325"/>
      <c r="BC45" s="1325"/>
      <c r="BD45" s="1325"/>
      <c r="BE45" s="1325"/>
      <c r="BF45" s="1325"/>
      <c r="BG45" s="1325"/>
      <c r="BH45" s="1325"/>
      <c r="BI45" s="1325"/>
      <c r="BJ45" s="1325"/>
      <c r="BK45" s="1325"/>
      <c r="BL45" s="1325"/>
      <c r="BM45" s="1325"/>
      <c r="BN45" s="1325"/>
      <c r="BO45" s="1325"/>
      <c r="BP45" s="1325"/>
      <c r="BQ45" s="1325"/>
      <c r="BR45" s="1325"/>
      <c r="BS45" s="1325"/>
      <c r="BT45" s="1325"/>
      <c r="BU45" s="1325"/>
      <c r="BV45" s="1325"/>
      <c r="BW45" s="1325"/>
      <c r="BX45" s="1325"/>
      <c r="BY45" s="1325"/>
      <c r="BZ45" s="1325"/>
      <c r="CA45" s="1325"/>
      <c r="CB45" s="1325"/>
      <c r="CC45" s="1325"/>
      <c r="CD45" s="1325"/>
      <c r="CE45" s="1325"/>
      <c r="CF45" s="1325"/>
      <c r="CG45" s="1325"/>
      <c r="CH45" s="1325"/>
      <c r="CI45" s="1325"/>
      <c r="CJ45" s="1325"/>
      <c r="CK45" s="1325"/>
      <c r="CL45" s="1325"/>
      <c r="CM45" s="1325"/>
      <c r="CN45" s="1325"/>
      <c r="CO45" s="1325"/>
      <c r="CP45" s="1325"/>
      <c r="CQ45" s="1325"/>
      <c r="CR45" s="1325"/>
      <c r="CS45" s="1325"/>
      <c r="CT45" s="1325"/>
      <c r="CU45" s="1325"/>
      <c r="CV45" s="1325"/>
      <c r="CW45" s="1325"/>
      <c r="CX45" s="1325"/>
      <c r="CY45" s="1325"/>
      <c r="CZ45" s="1325"/>
      <c r="DA45" s="1325"/>
      <c r="DB45" s="1325"/>
      <c r="DC45" s="1325"/>
      <c r="DD45" s="1325"/>
      <c r="DE45" s="1325"/>
      <c r="DF45" s="1325"/>
      <c r="DG45" s="1325"/>
      <c r="DH45" s="1325"/>
      <c r="DI45" s="1325"/>
      <c r="DJ45" s="1325"/>
      <c r="DK45" s="1325"/>
      <c r="DL45" s="1325"/>
      <c r="DM45" s="1325"/>
      <c r="DN45" s="1325"/>
      <c r="DO45" s="1325"/>
      <c r="DP45" s="1325"/>
      <c r="DQ45" s="1325"/>
      <c r="DR45" s="1325"/>
      <c r="DS45" s="1325"/>
      <c r="DT45" s="1325"/>
      <c r="DU45" s="1325"/>
      <c r="DV45" s="1325"/>
      <c r="DW45" s="1325"/>
      <c r="DX45" s="1325"/>
      <c r="DY45" s="1325"/>
      <c r="DZ45" s="1325"/>
      <c r="EA45" s="1325"/>
      <c r="EB45" s="1325"/>
      <c r="EC45" s="1325"/>
      <c r="ED45" s="1325"/>
      <c r="EE45" s="1325"/>
      <c r="EF45" s="1325"/>
      <c r="EG45" s="1325"/>
      <c r="EH45" s="1325"/>
      <c r="EI45" s="1325"/>
      <c r="EJ45" s="1325"/>
      <c r="EK45" s="1325"/>
      <c r="EL45" s="1325"/>
      <c r="EM45" s="1325"/>
      <c r="EN45" s="1325"/>
      <c r="EO45" s="1325"/>
      <c r="EP45" s="1325"/>
      <c r="EQ45" s="1325"/>
      <c r="ER45" s="1325"/>
      <c r="ES45" s="1325"/>
      <c r="ET45" s="1325"/>
      <c r="EU45" s="1325"/>
      <c r="EV45" s="1325"/>
      <c r="EW45" s="1325"/>
      <c r="EX45" s="1325"/>
      <c r="EY45" s="1325"/>
      <c r="EZ45" s="1325"/>
      <c r="FA45" s="1325"/>
      <c r="FB45" s="1325"/>
      <c r="FC45" s="1325"/>
      <c r="FD45" s="1325"/>
      <c r="FE45" s="1325"/>
      <c r="FF45" s="1325"/>
      <c r="FG45" s="1325"/>
      <c r="FH45" s="1325"/>
      <c r="FI45" s="1325"/>
      <c r="FJ45" s="1325"/>
      <c r="FK45" s="1325"/>
      <c r="FL45" s="1325"/>
      <c r="FM45" s="1325"/>
      <c r="FN45" s="1325"/>
      <c r="FO45" s="1325"/>
      <c r="FP45" s="1325"/>
      <c r="FQ45" s="1325"/>
      <c r="FR45" s="1325"/>
      <c r="FS45" s="1325"/>
      <c r="FT45" s="1325"/>
      <c r="FU45" s="1325"/>
      <c r="FV45" s="1325"/>
      <c r="FW45" s="1325"/>
      <c r="FX45" s="1325"/>
      <c r="FY45" s="1325"/>
      <c r="FZ45" s="1325"/>
      <c r="GA45" s="1325"/>
      <c r="GB45" s="1325"/>
      <c r="GC45" s="1325"/>
      <c r="GD45" s="1325"/>
      <c r="GE45" s="1325"/>
      <c r="GF45" s="1325"/>
      <c r="GG45" s="1325"/>
      <c r="GH45" s="1325"/>
      <c r="GI45" s="1325"/>
      <c r="GJ45" s="1325"/>
      <c r="GK45" s="1325"/>
      <c r="GL45" s="1325"/>
      <c r="GM45" s="1325"/>
      <c r="GN45" s="1325"/>
      <c r="GO45" s="1325"/>
      <c r="GP45" s="1325"/>
      <c r="GQ45" s="1325"/>
      <c r="GR45" s="1325"/>
      <c r="GS45" s="1325"/>
      <c r="GT45" s="1325"/>
      <c r="GU45" s="1325"/>
      <c r="GV45" s="1325"/>
      <c r="GW45" s="1325"/>
      <c r="GX45" s="1325"/>
      <c r="GY45" s="1325"/>
      <c r="GZ45" s="1325"/>
      <c r="HA45" s="1325"/>
      <c r="HB45" s="1325"/>
      <c r="HC45" s="1325"/>
      <c r="HD45" s="1325"/>
      <c r="HE45" s="1325"/>
      <c r="HF45" s="1325"/>
      <c r="HG45" s="1325"/>
      <c r="HH45" s="1325"/>
      <c r="HI45" s="1325"/>
      <c r="HJ45" s="1325"/>
      <c r="HK45" s="1325"/>
      <c r="HL45" s="1325"/>
      <c r="HM45" s="1325"/>
      <c r="HN45" s="1325"/>
      <c r="HO45" s="1325"/>
      <c r="HP45" s="1325"/>
      <c r="HQ45" s="1325"/>
      <c r="HR45" s="1325"/>
      <c r="HS45" s="1325"/>
      <c r="HT45" s="1325"/>
      <c r="HU45" s="1325"/>
      <c r="HV45" s="1325"/>
      <c r="HW45" s="1325"/>
      <c r="HX45" s="1325"/>
      <c r="HY45" s="1325"/>
      <c r="HZ45" s="1325"/>
      <c r="IA45" s="1325"/>
      <c r="IB45" s="1325"/>
      <c r="IC45" s="1325"/>
      <c r="ID45" s="1325"/>
      <c r="IE45" s="1325"/>
      <c r="IF45" s="1325"/>
      <c r="IG45" s="1325"/>
      <c r="IH45" s="1325"/>
      <c r="II45" s="1325"/>
      <c r="IJ45" s="1325"/>
      <c r="IK45" s="1325"/>
      <c r="IL45" s="1325"/>
      <c r="IM45" s="1325"/>
      <c r="IN45" s="1325"/>
      <c r="IO45" s="1325"/>
      <c r="IP45" s="1325"/>
      <c r="IQ45" s="1325"/>
      <c r="IR45" s="1325"/>
      <c r="IS45" s="1325"/>
      <c r="IT45" s="1325"/>
      <c r="IU45" s="1325"/>
      <c r="IV45" s="1325"/>
    </row>
    <row r="46" spans="1:256" ht="47.25">
      <c r="A46" s="1365" t="s">
        <v>834</v>
      </c>
      <c r="B46" s="1366" t="s">
        <v>835</v>
      </c>
      <c r="C46" s="1367"/>
      <c r="D46" s="1367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325"/>
      <c r="AG46" s="1325"/>
      <c r="AH46" s="1325"/>
      <c r="AI46" s="1325"/>
      <c r="AJ46" s="1325"/>
      <c r="AK46" s="1325"/>
      <c r="AL46" s="1325"/>
      <c r="AM46" s="1325"/>
      <c r="AN46" s="1325"/>
      <c r="AO46" s="1325"/>
      <c r="AP46" s="1325"/>
      <c r="AQ46" s="1325"/>
      <c r="AR46" s="1325"/>
      <c r="AS46" s="1325"/>
      <c r="AT46" s="1325"/>
      <c r="AU46" s="1325"/>
      <c r="AV46" s="1325"/>
      <c r="AW46" s="1325"/>
      <c r="AX46" s="1325"/>
      <c r="AY46" s="1325"/>
      <c r="AZ46" s="1325"/>
      <c r="BA46" s="1325"/>
      <c r="BB46" s="1325"/>
      <c r="BC46" s="1325"/>
      <c r="BD46" s="1325"/>
      <c r="BE46" s="1325"/>
      <c r="BF46" s="1325"/>
      <c r="BG46" s="1325"/>
      <c r="BH46" s="1325"/>
      <c r="BI46" s="1325"/>
      <c r="BJ46" s="1325"/>
      <c r="BK46" s="1325"/>
      <c r="BL46" s="1325"/>
      <c r="BM46" s="1325"/>
      <c r="BN46" s="1325"/>
      <c r="BO46" s="1325"/>
      <c r="BP46" s="1325"/>
      <c r="BQ46" s="1325"/>
      <c r="BR46" s="1325"/>
      <c r="BS46" s="1325"/>
      <c r="BT46" s="1325"/>
      <c r="BU46" s="1325"/>
      <c r="BV46" s="1325"/>
      <c r="BW46" s="1325"/>
      <c r="BX46" s="1325"/>
      <c r="BY46" s="1325"/>
      <c r="BZ46" s="1325"/>
      <c r="CA46" s="1325"/>
      <c r="CB46" s="1325"/>
      <c r="CC46" s="1325"/>
      <c r="CD46" s="1325"/>
      <c r="CE46" s="1325"/>
      <c r="CF46" s="1325"/>
      <c r="CG46" s="1325"/>
      <c r="CH46" s="1325"/>
      <c r="CI46" s="1325"/>
      <c r="CJ46" s="1325"/>
      <c r="CK46" s="1325"/>
      <c r="CL46" s="1325"/>
      <c r="CM46" s="1325"/>
      <c r="CN46" s="1325"/>
      <c r="CO46" s="1325"/>
      <c r="CP46" s="1325"/>
      <c r="CQ46" s="1325"/>
      <c r="CR46" s="1325"/>
      <c r="CS46" s="1325"/>
      <c r="CT46" s="1325"/>
      <c r="CU46" s="1325"/>
      <c r="CV46" s="1325"/>
      <c r="CW46" s="1325"/>
      <c r="CX46" s="1325"/>
      <c r="CY46" s="1325"/>
      <c r="CZ46" s="1325"/>
      <c r="DA46" s="1325"/>
      <c r="DB46" s="1325"/>
      <c r="DC46" s="1325"/>
      <c r="DD46" s="1325"/>
      <c r="DE46" s="1325"/>
      <c r="DF46" s="1325"/>
      <c r="DG46" s="1325"/>
      <c r="DH46" s="1325"/>
      <c r="DI46" s="1325"/>
      <c r="DJ46" s="1325"/>
      <c r="DK46" s="1325"/>
      <c r="DL46" s="1325"/>
      <c r="DM46" s="1325"/>
      <c r="DN46" s="1325"/>
      <c r="DO46" s="1325"/>
      <c r="DP46" s="1325"/>
      <c r="DQ46" s="1325"/>
      <c r="DR46" s="1325"/>
      <c r="DS46" s="1325"/>
      <c r="DT46" s="1325"/>
      <c r="DU46" s="1325"/>
      <c r="DV46" s="1325"/>
      <c r="DW46" s="1325"/>
      <c r="DX46" s="1325"/>
      <c r="DY46" s="1325"/>
      <c r="DZ46" s="1325"/>
      <c r="EA46" s="1325"/>
      <c r="EB46" s="1325"/>
      <c r="EC46" s="1325"/>
      <c r="ED46" s="1325"/>
      <c r="EE46" s="1325"/>
      <c r="EF46" s="1325"/>
      <c r="EG46" s="1325"/>
      <c r="EH46" s="1325"/>
      <c r="EI46" s="1325"/>
      <c r="EJ46" s="1325"/>
      <c r="EK46" s="1325"/>
      <c r="EL46" s="1325"/>
      <c r="EM46" s="1325"/>
      <c r="EN46" s="1325"/>
      <c r="EO46" s="1325"/>
      <c r="EP46" s="1325"/>
      <c r="EQ46" s="1325"/>
      <c r="ER46" s="1325"/>
      <c r="ES46" s="1325"/>
      <c r="ET46" s="1325"/>
      <c r="EU46" s="1325"/>
      <c r="EV46" s="1325"/>
      <c r="EW46" s="1325"/>
      <c r="EX46" s="1325"/>
      <c r="EY46" s="1325"/>
      <c r="EZ46" s="1325"/>
      <c r="FA46" s="1325"/>
      <c r="FB46" s="1325"/>
      <c r="FC46" s="1325"/>
      <c r="FD46" s="1325"/>
      <c r="FE46" s="1325"/>
      <c r="FF46" s="1325"/>
      <c r="FG46" s="1325"/>
      <c r="FH46" s="1325"/>
      <c r="FI46" s="1325"/>
      <c r="FJ46" s="1325"/>
      <c r="FK46" s="1325"/>
      <c r="FL46" s="1325"/>
      <c r="FM46" s="1325"/>
      <c r="FN46" s="1325"/>
      <c r="FO46" s="1325"/>
      <c r="FP46" s="1325"/>
      <c r="FQ46" s="1325"/>
      <c r="FR46" s="1325"/>
      <c r="FS46" s="1325"/>
      <c r="FT46" s="1325"/>
      <c r="FU46" s="1325"/>
      <c r="FV46" s="1325"/>
      <c r="FW46" s="1325"/>
      <c r="FX46" s="1325"/>
      <c r="FY46" s="1325"/>
      <c r="FZ46" s="1325"/>
      <c r="GA46" s="1325"/>
      <c r="GB46" s="1325"/>
      <c r="GC46" s="1325"/>
      <c r="GD46" s="1325"/>
      <c r="GE46" s="1325"/>
      <c r="GF46" s="1325"/>
      <c r="GG46" s="1325"/>
      <c r="GH46" s="1325"/>
      <c r="GI46" s="1325"/>
      <c r="GJ46" s="1325"/>
      <c r="GK46" s="1325"/>
      <c r="GL46" s="1325"/>
      <c r="GM46" s="1325"/>
      <c r="GN46" s="1325"/>
      <c r="GO46" s="1325"/>
      <c r="GP46" s="1325"/>
      <c r="GQ46" s="1325"/>
      <c r="GR46" s="1325"/>
      <c r="GS46" s="1325"/>
      <c r="GT46" s="1325"/>
      <c r="GU46" s="1325"/>
      <c r="GV46" s="1325"/>
      <c r="GW46" s="1325"/>
      <c r="GX46" s="1325"/>
      <c r="GY46" s="1325"/>
      <c r="GZ46" s="1325"/>
      <c r="HA46" s="1325"/>
      <c r="HB46" s="1325"/>
      <c r="HC46" s="1325"/>
      <c r="HD46" s="1325"/>
      <c r="HE46" s="1325"/>
      <c r="HF46" s="1325"/>
      <c r="HG46" s="1325"/>
      <c r="HH46" s="1325"/>
      <c r="HI46" s="1325"/>
      <c r="HJ46" s="1325"/>
      <c r="HK46" s="1325"/>
      <c r="HL46" s="1325"/>
      <c r="HM46" s="1325"/>
      <c r="HN46" s="1325"/>
      <c r="HO46" s="1325"/>
      <c r="HP46" s="1325"/>
      <c r="HQ46" s="1325"/>
      <c r="HR46" s="1325"/>
      <c r="HS46" s="1325"/>
      <c r="HT46" s="1325"/>
      <c r="HU46" s="1325"/>
      <c r="HV46" s="1325"/>
      <c r="HW46" s="1325"/>
      <c r="HX46" s="1325"/>
      <c r="HY46" s="1325"/>
      <c r="HZ46" s="1325"/>
      <c r="IA46" s="1325"/>
      <c r="IB46" s="1325"/>
      <c r="IC46" s="1325"/>
      <c r="ID46" s="1325"/>
      <c r="IE46" s="1325"/>
      <c r="IF46" s="1325"/>
      <c r="IG46" s="1325"/>
      <c r="IH46" s="1325"/>
      <c r="II46" s="1325"/>
      <c r="IJ46" s="1325"/>
      <c r="IK46" s="1325"/>
      <c r="IL46" s="1325"/>
      <c r="IM46" s="1325"/>
      <c r="IN46" s="1325"/>
      <c r="IO46" s="1325"/>
      <c r="IP46" s="1325"/>
      <c r="IQ46" s="1325"/>
      <c r="IR46" s="1325"/>
      <c r="IS46" s="1325"/>
      <c r="IT46" s="1325"/>
      <c r="IU46" s="1325"/>
      <c r="IV46" s="1325"/>
    </row>
    <row r="47" spans="1:256" ht="31.5">
      <c r="A47" s="1365" t="s">
        <v>836</v>
      </c>
      <c r="B47" s="1366" t="s">
        <v>837</v>
      </c>
      <c r="C47" s="1367"/>
      <c r="D47" s="1367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1325"/>
      <c r="AG47" s="1325"/>
      <c r="AH47" s="1325"/>
      <c r="AI47" s="1325"/>
      <c r="AJ47" s="1325"/>
      <c r="AK47" s="1325"/>
      <c r="AL47" s="1325"/>
      <c r="AM47" s="1325"/>
      <c r="AN47" s="1325"/>
      <c r="AO47" s="1325"/>
      <c r="AP47" s="1325"/>
      <c r="AQ47" s="1325"/>
      <c r="AR47" s="1325"/>
      <c r="AS47" s="1325"/>
      <c r="AT47" s="1325"/>
      <c r="AU47" s="1325"/>
      <c r="AV47" s="1325"/>
      <c r="AW47" s="1325"/>
      <c r="AX47" s="1325"/>
      <c r="AY47" s="1325"/>
      <c r="AZ47" s="1325"/>
      <c r="BA47" s="1325"/>
      <c r="BB47" s="1325"/>
      <c r="BC47" s="1325"/>
      <c r="BD47" s="1325"/>
      <c r="BE47" s="1325"/>
      <c r="BF47" s="1325"/>
      <c r="BG47" s="1325"/>
      <c r="BH47" s="1325"/>
      <c r="BI47" s="1325"/>
      <c r="BJ47" s="1325"/>
      <c r="BK47" s="1325"/>
      <c r="BL47" s="1325"/>
      <c r="BM47" s="1325"/>
      <c r="BN47" s="1325"/>
      <c r="BO47" s="1325"/>
      <c r="BP47" s="1325"/>
      <c r="BQ47" s="1325"/>
      <c r="BR47" s="1325"/>
      <c r="BS47" s="1325"/>
      <c r="BT47" s="1325"/>
      <c r="BU47" s="1325"/>
      <c r="BV47" s="1325"/>
      <c r="BW47" s="1325"/>
      <c r="BX47" s="1325"/>
      <c r="BY47" s="1325"/>
      <c r="BZ47" s="1325"/>
      <c r="CA47" s="1325"/>
      <c r="CB47" s="1325"/>
      <c r="CC47" s="1325"/>
      <c r="CD47" s="1325"/>
      <c r="CE47" s="1325"/>
      <c r="CF47" s="1325"/>
      <c r="CG47" s="1325"/>
      <c r="CH47" s="1325"/>
      <c r="CI47" s="1325"/>
      <c r="CJ47" s="1325"/>
      <c r="CK47" s="1325"/>
      <c r="CL47" s="1325"/>
      <c r="CM47" s="1325"/>
      <c r="CN47" s="1325"/>
      <c r="CO47" s="1325"/>
      <c r="CP47" s="1325"/>
      <c r="CQ47" s="1325"/>
      <c r="CR47" s="1325"/>
      <c r="CS47" s="1325"/>
      <c r="CT47" s="1325"/>
      <c r="CU47" s="1325"/>
      <c r="CV47" s="1325"/>
      <c r="CW47" s="1325"/>
      <c r="CX47" s="1325"/>
      <c r="CY47" s="1325"/>
      <c r="CZ47" s="1325"/>
      <c r="DA47" s="1325"/>
      <c r="DB47" s="1325"/>
      <c r="DC47" s="1325"/>
      <c r="DD47" s="1325"/>
      <c r="DE47" s="1325"/>
      <c r="DF47" s="1325"/>
      <c r="DG47" s="1325"/>
      <c r="DH47" s="1325"/>
      <c r="DI47" s="1325"/>
      <c r="DJ47" s="1325"/>
      <c r="DK47" s="1325"/>
      <c r="DL47" s="1325"/>
      <c r="DM47" s="1325"/>
      <c r="DN47" s="1325"/>
      <c r="DO47" s="1325"/>
      <c r="DP47" s="1325"/>
      <c r="DQ47" s="1325"/>
      <c r="DR47" s="1325"/>
      <c r="DS47" s="1325"/>
      <c r="DT47" s="1325"/>
      <c r="DU47" s="1325"/>
      <c r="DV47" s="1325"/>
      <c r="DW47" s="1325"/>
      <c r="DX47" s="1325"/>
      <c r="DY47" s="1325"/>
      <c r="DZ47" s="1325"/>
      <c r="EA47" s="1325"/>
      <c r="EB47" s="1325"/>
      <c r="EC47" s="1325"/>
      <c r="ED47" s="1325"/>
      <c r="EE47" s="1325"/>
      <c r="EF47" s="1325"/>
      <c r="EG47" s="1325"/>
      <c r="EH47" s="1325"/>
      <c r="EI47" s="1325"/>
      <c r="EJ47" s="1325"/>
      <c r="EK47" s="1325"/>
      <c r="EL47" s="1325"/>
      <c r="EM47" s="1325"/>
      <c r="EN47" s="1325"/>
      <c r="EO47" s="1325"/>
      <c r="EP47" s="1325"/>
      <c r="EQ47" s="1325"/>
      <c r="ER47" s="1325"/>
      <c r="ES47" s="1325"/>
      <c r="ET47" s="1325"/>
      <c r="EU47" s="1325"/>
      <c r="EV47" s="1325"/>
      <c r="EW47" s="1325"/>
      <c r="EX47" s="1325"/>
      <c r="EY47" s="1325"/>
      <c r="EZ47" s="1325"/>
      <c r="FA47" s="1325"/>
      <c r="FB47" s="1325"/>
      <c r="FC47" s="1325"/>
      <c r="FD47" s="1325"/>
      <c r="FE47" s="1325"/>
      <c r="FF47" s="1325"/>
      <c r="FG47" s="1325"/>
      <c r="FH47" s="1325"/>
      <c r="FI47" s="1325"/>
      <c r="FJ47" s="1325"/>
      <c r="FK47" s="1325"/>
      <c r="FL47" s="1325"/>
      <c r="FM47" s="1325"/>
      <c r="FN47" s="1325"/>
      <c r="FO47" s="1325"/>
      <c r="FP47" s="1325"/>
      <c r="FQ47" s="1325"/>
      <c r="FR47" s="1325"/>
      <c r="FS47" s="1325"/>
      <c r="FT47" s="1325"/>
      <c r="FU47" s="1325"/>
      <c r="FV47" s="1325"/>
      <c r="FW47" s="1325"/>
      <c r="FX47" s="1325"/>
      <c r="FY47" s="1325"/>
      <c r="FZ47" s="1325"/>
      <c r="GA47" s="1325"/>
      <c r="GB47" s="1325"/>
      <c r="GC47" s="1325"/>
      <c r="GD47" s="1325"/>
      <c r="GE47" s="1325"/>
      <c r="GF47" s="1325"/>
      <c r="GG47" s="1325"/>
      <c r="GH47" s="1325"/>
      <c r="GI47" s="1325"/>
      <c r="GJ47" s="1325"/>
      <c r="GK47" s="1325"/>
      <c r="GL47" s="1325"/>
      <c r="GM47" s="1325"/>
      <c r="GN47" s="1325"/>
      <c r="GO47" s="1325"/>
      <c r="GP47" s="1325"/>
      <c r="GQ47" s="1325"/>
      <c r="GR47" s="1325"/>
      <c r="GS47" s="1325"/>
      <c r="GT47" s="1325"/>
      <c r="GU47" s="1325"/>
      <c r="GV47" s="1325"/>
      <c r="GW47" s="1325"/>
      <c r="GX47" s="1325"/>
      <c r="GY47" s="1325"/>
      <c r="GZ47" s="1325"/>
      <c r="HA47" s="1325"/>
      <c r="HB47" s="1325"/>
      <c r="HC47" s="1325"/>
      <c r="HD47" s="1325"/>
      <c r="HE47" s="1325"/>
      <c r="HF47" s="1325"/>
      <c r="HG47" s="1325"/>
      <c r="HH47" s="1325"/>
      <c r="HI47" s="1325"/>
      <c r="HJ47" s="1325"/>
      <c r="HK47" s="1325"/>
      <c r="HL47" s="1325"/>
      <c r="HM47" s="1325"/>
      <c r="HN47" s="1325"/>
      <c r="HO47" s="1325"/>
      <c r="HP47" s="1325"/>
      <c r="HQ47" s="1325"/>
      <c r="HR47" s="1325"/>
      <c r="HS47" s="1325"/>
      <c r="HT47" s="1325"/>
      <c r="HU47" s="1325"/>
      <c r="HV47" s="1325"/>
      <c r="HW47" s="1325"/>
      <c r="HX47" s="1325"/>
      <c r="HY47" s="1325"/>
      <c r="HZ47" s="1325"/>
      <c r="IA47" s="1325"/>
      <c r="IB47" s="1325"/>
      <c r="IC47" s="1325"/>
      <c r="ID47" s="1325"/>
      <c r="IE47" s="1325"/>
      <c r="IF47" s="1325"/>
      <c r="IG47" s="1325"/>
      <c r="IH47" s="1325"/>
      <c r="II47" s="1325"/>
      <c r="IJ47" s="1325"/>
      <c r="IK47" s="1325"/>
      <c r="IL47" s="1325"/>
      <c r="IM47" s="1325"/>
      <c r="IN47" s="1325"/>
      <c r="IO47" s="1325"/>
      <c r="IP47" s="1325"/>
      <c r="IQ47" s="1325"/>
      <c r="IR47" s="1325"/>
      <c r="IS47" s="1325"/>
      <c r="IT47" s="1325"/>
      <c r="IU47" s="1325"/>
      <c r="IV47" s="1325"/>
    </row>
    <row r="48" spans="1:256" ht="15.75">
      <c r="A48" s="1365" t="s">
        <v>838</v>
      </c>
      <c r="B48" s="1366" t="s">
        <v>839</v>
      </c>
      <c r="C48" s="1367"/>
      <c r="D48" s="1367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1325"/>
      <c r="AG48" s="1325"/>
      <c r="AH48" s="1325"/>
      <c r="AI48" s="1325"/>
      <c r="AJ48" s="1325"/>
      <c r="AK48" s="1325"/>
      <c r="AL48" s="1325"/>
      <c r="AM48" s="1325"/>
      <c r="AN48" s="1325"/>
      <c r="AO48" s="1325"/>
      <c r="AP48" s="1325"/>
      <c r="AQ48" s="1325"/>
      <c r="AR48" s="1325"/>
      <c r="AS48" s="1325"/>
      <c r="AT48" s="1325"/>
      <c r="AU48" s="1325"/>
      <c r="AV48" s="1325"/>
      <c r="AW48" s="1325"/>
      <c r="AX48" s="1325"/>
      <c r="AY48" s="1325"/>
      <c r="AZ48" s="1325"/>
      <c r="BA48" s="1325"/>
      <c r="BB48" s="1325"/>
      <c r="BC48" s="1325"/>
      <c r="BD48" s="1325"/>
      <c r="BE48" s="1325"/>
      <c r="BF48" s="1325"/>
      <c r="BG48" s="1325"/>
      <c r="BH48" s="1325"/>
      <c r="BI48" s="1325"/>
      <c r="BJ48" s="1325"/>
      <c r="BK48" s="1325"/>
      <c r="BL48" s="1325"/>
      <c r="BM48" s="1325"/>
      <c r="BN48" s="1325"/>
      <c r="BO48" s="1325"/>
      <c r="BP48" s="1325"/>
      <c r="BQ48" s="1325"/>
      <c r="BR48" s="1325"/>
      <c r="BS48" s="1325"/>
      <c r="BT48" s="1325"/>
      <c r="BU48" s="1325"/>
      <c r="BV48" s="1325"/>
      <c r="BW48" s="1325"/>
      <c r="BX48" s="1325"/>
      <c r="BY48" s="1325"/>
      <c r="BZ48" s="1325"/>
      <c r="CA48" s="1325"/>
      <c r="CB48" s="1325"/>
      <c r="CC48" s="1325"/>
      <c r="CD48" s="1325"/>
      <c r="CE48" s="1325"/>
      <c r="CF48" s="1325"/>
      <c r="CG48" s="1325"/>
      <c r="CH48" s="1325"/>
      <c r="CI48" s="1325"/>
      <c r="CJ48" s="1325"/>
      <c r="CK48" s="1325"/>
      <c r="CL48" s="1325"/>
      <c r="CM48" s="1325"/>
      <c r="CN48" s="1325"/>
      <c r="CO48" s="1325"/>
      <c r="CP48" s="1325"/>
      <c r="CQ48" s="1325"/>
      <c r="CR48" s="1325"/>
      <c r="CS48" s="1325"/>
      <c r="CT48" s="1325"/>
      <c r="CU48" s="1325"/>
      <c r="CV48" s="1325"/>
      <c r="CW48" s="1325"/>
      <c r="CX48" s="1325"/>
      <c r="CY48" s="1325"/>
      <c r="CZ48" s="1325"/>
      <c r="DA48" s="1325"/>
      <c r="DB48" s="1325"/>
      <c r="DC48" s="1325"/>
      <c r="DD48" s="1325"/>
      <c r="DE48" s="1325"/>
      <c r="DF48" s="1325"/>
      <c r="DG48" s="1325"/>
      <c r="DH48" s="1325"/>
      <c r="DI48" s="1325"/>
      <c r="DJ48" s="1325"/>
      <c r="DK48" s="1325"/>
      <c r="DL48" s="1325"/>
      <c r="DM48" s="1325"/>
      <c r="DN48" s="1325"/>
      <c r="DO48" s="1325"/>
      <c r="DP48" s="1325"/>
      <c r="DQ48" s="1325"/>
      <c r="DR48" s="1325"/>
      <c r="DS48" s="1325"/>
      <c r="DT48" s="1325"/>
      <c r="DU48" s="1325"/>
      <c r="DV48" s="1325"/>
      <c r="DW48" s="1325"/>
      <c r="DX48" s="1325"/>
      <c r="DY48" s="1325"/>
      <c r="DZ48" s="1325"/>
      <c r="EA48" s="1325"/>
      <c r="EB48" s="1325"/>
      <c r="EC48" s="1325"/>
      <c r="ED48" s="1325"/>
      <c r="EE48" s="1325"/>
      <c r="EF48" s="1325"/>
      <c r="EG48" s="1325"/>
      <c r="EH48" s="1325"/>
      <c r="EI48" s="1325"/>
      <c r="EJ48" s="1325"/>
      <c r="EK48" s="1325"/>
      <c r="EL48" s="1325"/>
      <c r="EM48" s="1325"/>
      <c r="EN48" s="1325"/>
      <c r="EO48" s="1325"/>
      <c r="EP48" s="1325"/>
      <c r="EQ48" s="1325"/>
      <c r="ER48" s="1325"/>
      <c r="ES48" s="1325"/>
      <c r="ET48" s="1325"/>
      <c r="EU48" s="1325"/>
      <c r="EV48" s="1325"/>
      <c r="EW48" s="1325"/>
      <c r="EX48" s="1325"/>
      <c r="EY48" s="1325"/>
      <c r="EZ48" s="1325"/>
      <c r="FA48" s="1325"/>
      <c r="FB48" s="1325"/>
      <c r="FC48" s="1325"/>
      <c r="FD48" s="1325"/>
      <c r="FE48" s="1325"/>
      <c r="FF48" s="1325"/>
      <c r="FG48" s="1325"/>
      <c r="FH48" s="1325"/>
      <c r="FI48" s="1325"/>
      <c r="FJ48" s="1325"/>
      <c r="FK48" s="1325"/>
      <c r="FL48" s="1325"/>
      <c r="FM48" s="1325"/>
      <c r="FN48" s="1325"/>
      <c r="FO48" s="1325"/>
      <c r="FP48" s="1325"/>
      <c r="FQ48" s="1325"/>
      <c r="FR48" s="1325"/>
      <c r="FS48" s="1325"/>
      <c r="FT48" s="1325"/>
      <c r="FU48" s="1325"/>
      <c r="FV48" s="1325"/>
      <c r="FW48" s="1325"/>
      <c r="FX48" s="1325"/>
      <c r="FY48" s="1325"/>
      <c r="FZ48" s="1325"/>
      <c r="GA48" s="1325"/>
      <c r="GB48" s="1325"/>
      <c r="GC48" s="1325"/>
      <c r="GD48" s="1325"/>
      <c r="GE48" s="1325"/>
      <c r="GF48" s="1325"/>
      <c r="GG48" s="1325"/>
      <c r="GH48" s="1325"/>
      <c r="GI48" s="1325"/>
      <c r="GJ48" s="1325"/>
      <c r="GK48" s="1325"/>
      <c r="GL48" s="1325"/>
      <c r="GM48" s="1325"/>
      <c r="GN48" s="1325"/>
      <c r="GO48" s="1325"/>
      <c r="GP48" s="1325"/>
      <c r="GQ48" s="1325"/>
      <c r="GR48" s="1325"/>
      <c r="GS48" s="1325"/>
      <c r="GT48" s="1325"/>
      <c r="GU48" s="1325"/>
      <c r="GV48" s="1325"/>
      <c r="GW48" s="1325"/>
      <c r="GX48" s="1325"/>
      <c r="GY48" s="1325"/>
      <c r="GZ48" s="1325"/>
      <c r="HA48" s="1325"/>
      <c r="HB48" s="1325"/>
      <c r="HC48" s="1325"/>
      <c r="HD48" s="1325"/>
      <c r="HE48" s="1325"/>
      <c r="HF48" s="1325"/>
      <c r="HG48" s="1325"/>
      <c r="HH48" s="1325"/>
      <c r="HI48" s="1325"/>
      <c r="HJ48" s="1325"/>
      <c r="HK48" s="1325"/>
      <c r="HL48" s="1325"/>
      <c r="HM48" s="1325"/>
      <c r="HN48" s="1325"/>
      <c r="HO48" s="1325"/>
      <c r="HP48" s="1325"/>
      <c r="HQ48" s="1325"/>
      <c r="HR48" s="1325"/>
      <c r="HS48" s="1325"/>
      <c r="HT48" s="1325"/>
      <c r="HU48" s="1325"/>
      <c r="HV48" s="1325"/>
      <c r="HW48" s="1325"/>
      <c r="HX48" s="1325"/>
      <c r="HY48" s="1325"/>
      <c r="HZ48" s="1325"/>
      <c r="IA48" s="1325"/>
      <c r="IB48" s="1325"/>
      <c r="IC48" s="1325"/>
      <c r="ID48" s="1325"/>
      <c r="IE48" s="1325"/>
      <c r="IF48" s="1325"/>
      <c r="IG48" s="1325"/>
      <c r="IH48" s="1325"/>
      <c r="II48" s="1325"/>
      <c r="IJ48" s="1325"/>
      <c r="IK48" s="1325"/>
      <c r="IL48" s="1325"/>
      <c r="IM48" s="1325"/>
      <c r="IN48" s="1325"/>
      <c r="IO48" s="1325"/>
      <c r="IP48" s="1325"/>
      <c r="IQ48" s="1325"/>
      <c r="IR48" s="1325"/>
      <c r="IS48" s="1325"/>
      <c r="IT48" s="1325"/>
      <c r="IU48" s="1325"/>
      <c r="IV48" s="1325"/>
    </row>
    <row r="49" spans="1:256" ht="31.5">
      <c r="A49" s="1368" t="s">
        <v>840</v>
      </c>
      <c r="B49" s="1369" t="s">
        <v>841</v>
      </c>
      <c r="C49" s="1372"/>
      <c r="D49" s="1372"/>
      <c r="E49" s="1325"/>
      <c r="F49" s="1325"/>
      <c r="G49" s="1325"/>
      <c r="H49" s="1325"/>
      <c r="I49" s="1325"/>
      <c r="J49" s="1325"/>
      <c r="K49" s="1325"/>
      <c r="L49" s="1325"/>
      <c r="M49" s="1325"/>
      <c r="N49" s="1325"/>
      <c r="O49" s="1325"/>
      <c r="P49" s="1325"/>
      <c r="Q49" s="1325"/>
      <c r="R49" s="1325"/>
      <c r="S49" s="1325"/>
      <c r="T49" s="1325"/>
      <c r="U49" s="1325"/>
      <c r="V49" s="1325"/>
      <c r="W49" s="1325"/>
      <c r="X49" s="1325"/>
      <c r="Y49" s="1325"/>
      <c r="Z49" s="1325"/>
      <c r="AA49" s="1325"/>
      <c r="AB49" s="1325"/>
      <c r="AC49" s="1325"/>
      <c r="AD49" s="1325"/>
      <c r="AE49" s="1325"/>
      <c r="AF49" s="1325"/>
      <c r="AG49" s="1325"/>
      <c r="AH49" s="1325"/>
      <c r="AI49" s="1325"/>
      <c r="AJ49" s="1325"/>
      <c r="AK49" s="1325"/>
      <c r="AL49" s="1325"/>
      <c r="AM49" s="1325"/>
      <c r="AN49" s="1325"/>
      <c r="AO49" s="1325"/>
      <c r="AP49" s="1325"/>
      <c r="AQ49" s="1325"/>
      <c r="AR49" s="1325"/>
      <c r="AS49" s="1325"/>
      <c r="AT49" s="1325"/>
      <c r="AU49" s="1325"/>
      <c r="AV49" s="1325"/>
      <c r="AW49" s="1325"/>
      <c r="AX49" s="1325"/>
      <c r="AY49" s="1325"/>
      <c r="AZ49" s="1325"/>
      <c r="BA49" s="1325"/>
      <c r="BB49" s="1325"/>
      <c r="BC49" s="1325"/>
      <c r="BD49" s="1325"/>
      <c r="BE49" s="1325"/>
      <c r="BF49" s="1325"/>
      <c r="BG49" s="1325"/>
      <c r="BH49" s="1325"/>
      <c r="BI49" s="1325"/>
      <c r="BJ49" s="1325"/>
      <c r="BK49" s="1325"/>
      <c r="BL49" s="1325"/>
      <c r="BM49" s="1325"/>
      <c r="BN49" s="1325"/>
      <c r="BO49" s="1325"/>
      <c r="BP49" s="1325"/>
      <c r="BQ49" s="1325"/>
      <c r="BR49" s="1325"/>
      <c r="BS49" s="1325"/>
      <c r="BT49" s="1325"/>
      <c r="BU49" s="1325"/>
      <c r="BV49" s="1325"/>
      <c r="BW49" s="1325"/>
      <c r="BX49" s="1325"/>
      <c r="BY49" s="1325"/>
      <c r="BZ49" s="1325"/>
      <c r="CA49" s="1325"/>
      <c r="CB49" s="1325"/>
      <c r="CC49" s="1325"/>
      <c r="CD49" s="1325"/>
      <c r="CE49" s="1325"/>
      <c r="CF49" s="1325"/>
      <c r="CG49" s="1325"/>
      <c r="CH49" s="1325"/>
      <c r="CI49" s="1325"/>
      <c r="CJ49" s="1325"/>
      <c r="CK49" s="1325"/>
      <c r="CL49" s="1325"/>
      <c r="CM49" s="1325"/>
      <c r="CN49" s="1325"/>
      <c r="CO49" s="1325"/>
      <c r="CP49" s="1325"/>
      <c r="CQ49" s="1325"/>
      <c r="CR49" s="1325"/>
      <c r="CS49" s="1325"/>
      <c r="CT49" s="1325"/>
      <c r="CU49" s="1325"/>
      <c r="CV49" s="1325"/>
      <c r="CW49" s="1325"/>
      <c r="CX49" s="1325"/>
      <c r="CY49" s="1325"/>
      <c r="CZ49" s="1325"/>
      <c r="DA49" s="1325"/>
      <c r="DB49" s="1325"/>
      <c r="DC49" s="1325"/>
      <c r="DD49" s="1325"/>
      <c r="DE49" s="1325"/>
      <c r="DF49" s="1325"/>
      <c r="DG49" s="1325"/>
      <c r="DH49" s="1325"/>
      <c r="DI49" s="1325"/>
      <c r="DJ49" s="1325"/>
      <c r="DK49" s="1325"/>
      <c r="DL49" s="1325"/>
      <c r="DM49" s="1325"/>
      <c r="DN49" s="1325"/>
      <c r="DO49" s="1325"/>
      <c r="DP49" s="1325"/>
      <c r="DQ49" s="1325"/>
      <c r="DR49" s="1325"/>
      <c r="DS49" s="1325"/>
      <c r="DT49" s="1325"/>
      <c r="DU49" s="1325"/>
      <c r="DV49" s="1325"/>
      <c r="DW49" s="1325"/>
      <c r="DX49" s="1325"/>
      <c r="DY49" s="1325"/>
      <c r="DZ49" s="1325"/>
      <c r="EA49" s="1325"/>
      <c r="EB49" s="1325"/>
      <c r="EC49" s="1325"/>
      <c r="ED49" s="1325"/>
      <c r="EE49" s="1325"/>
      <c r="EF49" s="1325"/>
      <c r="EG49" s="1325"/>
      <c r="EH49" s="1325"/>
      <c r="EI49" s="1325"/>
      <c r="EJ49" s="1325"/>
      <c r="EK49" s="1325"/>
      <c r="EL49" s="1325"/>
      <c r="EM49" s="1325"/>
      <c r="EN49" s="1325"/>
      <c r="EO49" s="1325"/>
      <c r="EP49" s="1325"/>
      <c r="EQ49" s="1325"/>
      <c r="ER49" s="1325"/>
      <c r="ES49" s="1325"/>
      <c r="ET49" s="1325"/>
      <c r="EU49" s="1325"/>
      <c r="EV49" s="1325"/>
      <c r="EW49" s="1325"/>
      <c r="EX49" s="1325"/>
      <c r="EY49" s="1325"/>
      <c r="EZ49" s="1325"/>
      <c r="FA49" s="1325"/>
      <c r="FB49" s="1325"/>
      <c r="FC49" s="1325"/>
      <c r="FD49" s="1325"/>
      <c r="FE49" s="1325"/>
      <c r="FF49" s="1325"/>
      <c r="FG49" s="1325"/>
      <c r="FH49" s="1325"/>
      <c r="FI49" s="1325"/>
      <c r="FJ49" s="1325"/>
      <c r="FK49" s="1325"/>
      <c r="FL49" s="1325"/>
      <c r="FM49" s="1325"/>
      <c r="FN49" s="1325"/>
      <c r="FO49" s="1325"/>
      <c r="FP49" s="1325"/>
      <c r="FQ49" s="1325"/>
      <c r="FR49" s="1325"/>
      <c r="FS49" s="1325"/>
      <c r="FT49" s="1325"/>
      <c r="FU49" s="1325"/>
      <c r="FV49" s="1325"/>
      <c r="FW49" s="1325"/>
      <c r="FX49" s="1325"/>
      <c r="FY49" s="1325"/>
      <c r="FZ49" s="1325"/>
      <c r="GA49" s="1325"/>
      <c r="GB49" s="1325"/>
      <c r="GC49" s="1325"/>
      <c r="GD49" s="1325"/>
      <c r="GE49" s="1325"/>
      <c r="GF49" s="1325"/>
      <c r="GG49" s="1325"/>
      <c r="GH49" s="1325"/>
      <c r="GI49" s="1325"/>
      <c r="GJ49" s="1325"/>
      <c r="GK49" s="1325"/>
      <c r="GL49" s="1325"/>
      <c r="GM49" s="1325"/>
      <c r="GN49" s="1325"/>
      <c r="GO49" s="1325"/>
      <c r="GP49" s="1325"/>
      <c r="GQ49" s="1325"/>
      <c r="GR49" s="1325"/>
      <c r="GS49" s="1325"/>
      <c r="GT49" s="1325"/>
      <c r="GU49" s="1325"/>
      <c r="GV49" s="1325"/>
      <c r="GW49" s="1325"/>
      <c r="GX49" s="1325"/>
      <c r="GY49" s="1325"/>
      <c r="GZ49" s="1325"/>
      <c r="HA49" s="1325"/>
      <c r="HB49" s="1325"/>
      <c r="HC49" s="1325"/>
      <c r="HD49" s="1325"/>
      <c r="HE49" s="1325"/>
      <c r="HF49" s="1325"/>
      <c r="HG49" s="1325"/>
      <c r="HH49" s="1325"/>
      <c r="HI49" s="1325"/>
      <c r="HJ49" s="1325"/>
      <c r="HK49" s="1325"/>
      <c r="HL49" s="1325"/>
      <c r="HM49" s="1325"/>
      <c r="HN49" s="1325"/>
      <c r="HO49" s="1325"/>
      <c r="HP49" s="1325"/>
      <c r="HQ49" s="1325"/>
      <c r="HR49" s="1325"/>
      <c r="HS49" s="1325"/>
      <c r="HT49" s="1325"/>
      <c r="HU49" s="1325"/>
      <c r="HV49" s="1325"/>
      <c r="HW49" s="1325"/>
      <c r="HX49" s="1325"/>
      <c r="HY49" s="1325"/>
      <c r="HZ49" s="1325"/>
      <c r="IA49" s="1325"/>
      <c r="IB49" s="1325"/>
      <c r="IC49" s="1325"/>
      <c r="ID49" s="1325"/>
      <c r="IE49" s="1325"/>
      <c r="IF49" s="1325"/>
      <c r="IG49" s="1325"/>
      <c r="IH49" s="1325"/>
      <c r="II49" s="1325"/>
      <c r="IJ49" s="1325"/>
      <c r="IK49" s="1325"/>
      <c r="IL49" s="1325"/>
      <c r="IM49" s="1325"/>
      <c r="IN49" s="1325"/>
      <c r="IO49" s="1325"/>
      <c r="IP49" s="1325"/>
      <c r="IQ49" s="1325"/>
      <c r="IR49" s="1325"/>
      <c r="IS49" s="1325"/>
      <c r="IT49" s="1325"/>
      <c r="IU49" s="1325"/>
      <c r="IV49" s="1325"/>
    </row>
    <row r="50" spans="1:256" ht="31.5">
      <c r="A50" s="1365" t="s">
        <v>842</v>
      </c>
      <c r="B50" s="1366" t="s">
        <v>843</v>
      </c>
      <c r="C50" s="1367"/>
      <c r="D50" s="1367"/>
      <c r="E50" s="1325"/>
      <c r="F50" s="1325"/>
      <c r="G50" s="1325"/>
      <c r="H50" s="1325"/>
      <c r="I50" s="1325"/>
      <c r="J50" s="1325"/>
      <c r="K50" s="1325"/>
      <c r="L50" s="1325"/>
      <c r="M50" s="1325"/>
      <c r="N50" s="1325"/>
      <c r="O50" s="1325"/>
      <c r="P50" s="1325"/>
      <c r="Q50" s="1325"/>
      <c r="R50" s="1325"/>
      <c r="S50" s="1325"/>
      <c r="T50" s="1325"/>
      <c r="U50" s="1325"/>
      <c r="V50" s="1325"/>
      <c r="W50" s="1325"/>
      <c r="X50" s="1325"/>
      <c r="Y50" s="1325"/>
      <c r="Z50" s="1325"/>
      <c r="AA50" s="1325"/>
      <c r="AB50" s="1325"/>
      <c r="AC50" s="1325"/>
      <c r="AD50" s="1325"/>
      <c r="AE50" s="1325"/>
      <c r="AF50" s="1325"/>
      <c r="AG50" s="1325"/>
      <c r="AH50" s="1325"/>
      <c r="AI50" s="1325"/>
      <c r="AJ50" s="1325"/>
      <c r="AK50" s="1325"/>
      <c r="AL50" s="1325"/>
      <c r="AM50" s="1325"/>
      <c r="AN50" s="1325"/>
      <c r="AO50" s="1325"/>
      <c r="AP50" s="1325"/>
      <c r="AQ50" s="1325"/>
      <c r="AR50" s="1325"/>
      <c r="AS50" s="1325"/>
      <c r="AT50" s="1325"/>
      <c r="AU50" s="1325"/>
      <c r="AV50" s="1325"/>
      <c r="AW50" s="1325"/>
      <c r="AX50" s="1325"/>
      <c r="AY50" s="1325"/>
      <c r="AZ50" s="1325"/>
      <c r="BA50" s="1325"/>
      <c r="BB50" s="1325"/>
      <c r="BC50" s="1325"/>
      <c r="BD50" s="1325"/>
      <c r="BE50" s="1325"/>
      <c r="BF50" s="1325"/>
      <c r="BG50" s="1325"/>
      <c r="BH50" s="1325"/>
      <c r="BI50" s="1325"/>
      <c r="BJ50" s="1325"/>
      <c r="BK50" s="1325"/>
      <c r="BL50" s="1325"/>
      <c r="BM50" s="1325"/>
      <c r="BN50" s="1325"/>
      <c r="BO50" s="1325"/>
      <c r="BP50" s="1325"/>
      <c r="BQ50" s="1325"/>
      <c r="BR50" s="1325"/>
      <c r="BS50" s="1325"/>
      <c r="BT50" s="1325"/>
      <c r="BU50" s="1325"/>
      <c r="BV50" s="1325"/>
      <c r="BW50" s="1325"/>
      <c r="BX50" s="1325"/>
      <c r="BY50" s="1325"/>
      <c r="BZ50" s="1325"/>
      <c r="CA50" s="1325"/>
      <c r="CB50" s="1325"/>
      <c r="CC50" s="1325"/>
      <c r="CD50" s="1325"/>
      <c r="CE50" s="1325"/>
      <c r="CF50" s="1325"/>
      <c r="CG50" s="1325"/>
      <c r="CH50" s="1325"/>
      <c r="CI50" s="1325"/>
      <c r="CJ50" s="1325"/>
      <c r="CK50" s="1325"/>
      <c r="CL50" s="1325"/>
      <c r="CM50" s="1325"/>
      <c r="CN50" s="1325"/>
      <c r="CO50" s="1325"/>
      <c r="CP50" s="1325"/>
      <c r="CQ50" s="1325"/>
      <c r="CR50" s="1325"/>
      <c r="CS50" s="1325"/>
      <c r="CT50" s="1325"/>
      <c r="CU50" s="1325"/>
      <c r="CV50" s="1325"/>
      <c r="CW50" s="1325"/>
      <c r="CX50" s="1325"/>
      <c r="CY50" s="1325"/>
      <c r="CZ50" s="1325"/>
      <c r="DA50" s="1325"/>
      <c r="DB50" s="1325"/>
      <c r="DC50" s="1325"/>
      <c r="DD50" s="1325"/>
      <c r="DE50" s="1325"/>
      <c r="DF50" s="1325"/>
      <c r="DG50" s="1325"/>
      <c r="DH50" s="1325"/>
      <c r="DI50" s="1325"/>
      <c r="DJ50" s="1325"/>
      <c r="DK50" s="1325"/>
      <c r="DL50" s="1325"/>
      <c r="DM50" s="1325"/>
      <c r="DN50" s="1325"/>
      <c r="DO50" s="1325"/>
      <c r="DP50" s="1325"/>
      <c r="DQ50" s="1325"/>
      <c r="DR50" s="1325"/>
      <c r="DS50" s="1325"/>
      <c r="DT50" s="1325"/>
      <c r="DU50" s="1325"/>
      <c r="DV50" s="1325"/>
      <c r="DW50" s="1325"/>
      <c r="DX50" s="1325"/>
      <c r="DY50" s="1325"/>
      <c r="DZ50" s="1325"/>
      <c r="EA50" s="1325"/>
      <c r="EB50" s="1325"/>
      <c r="EC50" s="1325"/>
      <c r="ED50" s="1325"/>
      <c r="EE50" s="1325"/>
      <c r="EF50" s="1325"/>
      <c r="EG50" s="1325"/>
      <c r="EH50" s="1325"/>
      <c r="EI50" s="1325"/>
      <c r="EJ50" s="1325"/>
      <c r="EK50" s="1325"/>
      <c r="EL50" s="1325"/>
      <c r="EM50" s="1325"/>
      <c r="EN50" s="1325"/>
      <c r="EO50" s="1325"/>
      <c r="EP50" s="1325"/>
      <c r="EQ50" s="1325"/>
      <c r="ER50" s="1325"/>
      <c r="ES50" s="1325"/>
      <c r="ET50" s="1325"/>
      <c r="EU50" s="1325"/>
      <c r="EV50" s="1325"/>
      <c r="EW50" s="1325"/>
      <c r="EX50" s="1325"/>
      <c r="EY50" s="1325"/>
      <c r="EZ50" s="1325"/>
      <c r="FA50" s="1325"/>
      <c r="FB50" s="1325"/>
      <c r="FC50" s="1325"/>
      <c r="FD50" s="1325"/>
      <c r="FE50" s="1325"/>
      <c r="FF50" s="1325"/>
      <c r="FG50" s="1325"/>
      <c r="FH50" s="1325"/>
      <c r="FI50" s="1325"/>
      <c r="FJ50" s="1325"/>
      <c r="FK50" s="1325"/>
      <c r="FL50" s="1325"/>
      <c r="FM50" s="1325"/>
      <c r="FN50" s="1325"/>
      <c r="FO50" s="1325"/>
      <c r="FP50" s="1325"/>
      <c r="FQ50" s="1325"/>
      <c r="FR50" s="1325"/>
      <c r="FS50" s="1325"/>
      <c r="FT50" s="1325"/>
      <c r="FU50" s="1325"/>
      <c r="FV50" s="1325"/>
      <c r="FW50" s="1325"/>
      <c r="FX50" s="1325"/>
      <c r="FY50" s="1325"/>
      <c r="FZ50" s="1325"/>
      <c r="GA50" s="1325"/>
      <c r="GB50" s="1325"/>
      <c r="GC50" s="1325"/>
      <c r="GD50" s="1325"/>
      <c r="GE50" s="1325"/>
      <c r="GF50" s="1325"/>
      <c r="GG50" s="1325"/>
      <c r="GH50" s="1325"/>
      <c r="GI50" s="1325"/>
      <c r="GJ50" s="1325"/>
      <c r="GK50" s="1325"/>
      <c r="GL50" s="1325"/>
      <c r="GM50" s="1325"/>
      <c r="GN50" s="1325"/>
      <c r="GO50" s="1325"/>
      <c r="GP50" s="1325"/>
      <c r="GQ50" s="1325"/>
      <c r="GR50" s="1325"/>
      <c r="GS50" s="1325"/>
      <c r="GT50" s="1325"/>
      <c r="GU50" s="1325"/>
      <c r="GV50" s="1325"/>
      <c r="GW50" s="1325"/>
      <c r="GX50" s="1325"/>
      <c r="GY50" s="1325"/>
      <c r="GZ50" s="1325"/>
      <c r="HA50" s="1325"/>
      <c r="HB50" s="1325"/>
      <c r="HC50" s="1325"/>
      <c r="HD50" s="1325"/>
      <c r="HE50" s="1325"/>
      <c r="HF50" s="1325"/>
      <c r="HG50" s="1325"/>
      <c r="HH50" s="1325"/>
      <c r="HI50" s="1325"/>
      <c r="HJ50" s="1325"/>
      <c r="HK50" s="1325"/>
      <c r="HL50" s="1325"/>
      <c r="HM50" s="1325"/>
      <c r="HN50" s="1325"/>
      <c r="HO50" s="1325"/>
      <c r="HP50" s="1325"/>
      <c r="HQ50" s="1325"/>
      <c r="HR50" s="1325"/>
      <c r="HS50" s="1325"/>
      <c r="HT50" s="1325"/>
      <c r="HU50" s="1325"/>
      <c r="HV50" s="1325"/>
      <c r="HW50" s="1325"/>
      <c r="HX50" s="1325"/>
      <c r="HY50" s="1325"/>
      <c r="HZ50" s="1325"/>
      <c r="IA50" s="1325"/>
      <c r="IB50" s="1325"/>
      <c r="IC50" s="1325"/>
      <c r="ID50" s="1325"/>
      <c r="IE50" s="1325"/>
      <c r="IF50" s="1325"/>
      <c r="IG50" s="1325"/>
      <c r="IH50" s="1325"/>
      <c r="II50" s="1325"/>
      <c r="IJ50" s="1325"/>
      <c r="IK50" s="1325"/>
      <c r="IL50" s="1325"/>
      <c r="IM50" s="1325"/>
      <c r="IN50" s="1325"/>
      <c r="IO50" s="1325"/>
      <c r="IP50" s="1325"/>
      <c r="IQ50" s="1325"/>
      <c r="IR50" s="1325"/>
      <c r="IS50" s="1325"/>
      <c r="IT50" s="1325"/>
      <c r="IU50" s="1325"/>
      <c r="IV50" s="1325"/>
    </row>
    <row r="51" spans="1:256" ht="47.25">
      <c r="A51" s="1365" t="s">
        <v>844</v>
      </c>
      <c r="B51" s="1366" t="s">
        <v>845</v>
      </c>
      <c r="C51" s="1367"/>
      <c r="D51" s="1367"/>
      <c r="E51" s="1325"/>
      <c r="F51" s="1325"/>
      <c r="G51" s="1325"/>
      <c r="H51" s="1325"/>
      <c r="I51" s="1325"/>
      <c r="J51" s="1325"/>
      <c r="K51" s="1325"/>
      <c r="L51" s="1325"/>
      <c r="M51" s="1325"/>
      <c r="N51" s="1325"/>
      <c r="O51" s="1325"/>
      <c r="P51" s="1325"/>
      <c r="Q51" s="1325"/>
      <c r="R51" s="1325"/>
      <c r="S51" s="1325"/>
      <c r="T51" s="1325"/>
      <c r="U51" s="1325"/>
      <c r="V51" s="1325"/>
      <c r="W51" s="1325"/>
      <c r="X51" s="1325"/>
      <c r="Y51" s="1325"/>
      <c r="Z51" s="1325"/>
      <c r="AA51" s="1325"/>
      <c r="AB51" s="1325"/>
      <c r="AC51" s="1325"/>
      <c r="AD51" s="1325"/>
      <c r="AE51" s="1325"/>
      <c r="AF51" s="1325"/>
      <c r="AG51" s="1325"/>
      <c r="AH51" s="1325"/>
      <c r="AI51" s="1325"/>
      <c r="AJ51" s="1325"/>
      <c r="AK51" s="1325"/>
      <c r="AL51" s="1325"/>
      <c r="AM51" s="1325"/>
      <c r="AN51" s="1325"/>
      <c r="AO51" s="1325"/>
      <c r="AP51" s="1325"/>
      <c r="AQ51" s="1325"/>
      <c r="AR51" s="1325"/>
      <c r="AS51" s="1325"/>
      <c r="AT51" s="1325"/>
      <c r="AU51" s="1325"/>
      <c r="AV51" s="1325"/>
      <c r="AW51" s="1325"/>
      <c r="AX51" s="1325"/>
      <c r="AY51" s="1325"/>
      <c r="AZ51" s="1325"/>
      <c r="BA51" s="1325"/>
      <c r="BB51" s="1325"/>
      <c r="BC51" s="1325"/>
      <c r="BD51" s="1325"/>
      <c r="BE51" s="1325"/>
      <c r="BF51" s="1325"/>
      <c r="BG51" s="1325"/>
      <c r="BH51" s="1325"/>
      <c r="BI51" s="1325"/>
      <c r="BJ51" s="1325"/>
      <c r="BK51" s="1325"/>
      <c r="BL51" s="1325"/>
      <c r="BM51" s="1325"/>
      <c r="BN51" s="1325"/>
      <c r="BO51" s="1325"/>
      <c r="BP51" s="1325"/>
      <c r="BQ51" s="1325"/>
      <c r="BR51" s="1325"/>
      <c r="BS51" s="1325"/>
      <c r="BT51" s="1325"/>
      <c r="BU51" s="1325"/>
      <c r="BV51" s="1325"/>
      <c r="BW51" s="1325"/>
      <c r="BX51" s="1325"/>
      <c r="BY51" s="1325"/>
      <c r="BZ51" s="1325"/>
      <c r="CA51" s="1325"/>
      <c r="CB51" s="1325"/>
      <c r="CC51" s="1325"/>
      <c r="CD51" s="1325"/>
      <c r="CE51" s="1325"/>
      <c r="CF51" s="1325"/>
      <c r="CG51" s="1325"/>
      <c r="CH51" s="1325"/>
      <c r="CI51" s="1325"/>
      <c r="CJ51" s="1325"/>
      <c r="CK51" s="1325"/>
      <c r="CL51" s="1325"/>
      <c r="CM51" s="1325"/>
      <c r="CN51" s="1325"/>
      <c r="CO51" s="1325"/>
      <c r="CP51" s="1325"/>
      <c r="CQ51" s="1325"/>
      <c r="CR51" s="1325"/>
      <c r="CS51" s="1325"/>
      <c r="CT51" s="1325"/>
      <c r="CU51" s="1325"/>
      <c r="CV51" s="1325"/>
      <c r="CW51" s="1325"/>
      <c r="CX51" s="1325"/>
      <c r="CY51" s="1325"/>
      <c r="CZ51" s="1325"/>
      <c r="DA51" s="1325"/>
      <c r="DB51" s="1325"/>
      <c r="DC51" s="1325"/>
      <c r="DD51" s="1325"/>
      <c r="DE51" s="1325"/>
      <c r="DF51" s="1325"/>
      <c r="DG51" s="1325"/>
      <c r="DH51" s="1325"/>
      <c r="DI51" s="1325"/>
      <c r="DJ51" s="1325"/>
      <c r="DK51" s="1325"/>
      <c r="DL51" s="1325"/>
      <c r="DM51" s="1325"/>
      <c r="DN51" s="1325"/>
      <c r="DO51" s="1325"/>
      <c r="DP51" s="1325"/>
      <c r="DQ51" s="1325"/>
      <c r="DR51" s="1325"/>
      <c r="DS51" s="1325"/>
      <c r="DT51" s="1325"/>
      <c r="DU51" s="1325"/>
      <c r="DV51" s="1325"/>
      <c r="DW51" s="1325"/>
      <c r="DX51" s="1325"/>
      <c r="DY51" s="1325"/>
      <c r="DZ51" s="1325"/>
      <c r="EA51" s="1325"/>
      <c r="EB51" s="1325"/>
      <c r="EC51" s="1325"/>
      <c r="ED51" s="1325"/>
      <c r="EE51" s="1325"/>
      <c r="EF51" s="1325"/>
      <c r="EG51" s="1325"/>
      <c r="EH51" s="1325"/>
      <c r="EI51" s="1325"/>
      <c r="EJ51" s="1325"/>
      <c r="EK51" s="1325"/>
      <c r="EL51" s="1325"/>
      <c r="EM51" s="1325"/>
      <c r="EN51" s="1325"/>
      <c r="EO51" s="1325"/>
      <c r="EP51" s="1325"/>
      <c r="EQ51" s="1325"/>
      <c r="ER51" s="1325"/>
      <c r="ES51" s="1325"/>
      <c r="ET51" s="1325"/>
      <c r="EU51" s="1325"/>
      <c r="EV51" s="1325"/>
      <c r="EW51" s="1325"/>
      <c r="EX51" s="1325"/>
      <c r="EY51" s="1325"/>
      <c r="EZ51" s="1325"/>
      <c r="FA51" s="1325"/>
      <c r="FB51" s="1325"/>
      <c r="FC51" s="1325"/>
      <c r="FD51" s="1325"/>
      <c r="FE51" s="1325"/>
      <c r="FF51" s="1325"/>
      <c r="FG51" s="1325"/>
      <c r="FH51" s="1325"/>
      <c r="FI51" s="1325"/>
      <c r="FJ51" s="1325"/>
      <c r="FK51" s="1325"/>
      <c r="FL51" s="1325"/>
      <c r="FM51" s="1325"/>
      <c r="FN51" s="1325"/>
      <c r="FO51" s="1325"/>
      <c r="FP51" s="1325"/>
      <c r="FQ51" s="1325"/>
      <c r="FR51" s="1325"/>
      <c r="FS51" s="1325"/>
      <c r="FT51" s="1325"/>
      <c r="FU51" s="1325"/>
      <c r="FV51" s="1325"/>
      <c r="FW51" s="1325"/>
      <c r="FX51" s="1325"/>
      <c r="FY51" s="1325"/>
      <c r="FZ51" s="1325"/>
      <c r="GA51" s="1325"/>
      <c r="GB51" s="1325"/>
      <c r="GC51" s="1325"/>
      <c r="GD51" s="1325"/>
      <c r="GE51" s="1325"/>
      <c r="GF51" s="1325"/>
      <c r="GG51" s="1325"/>
      <c r="GH51" s="1325"/>
      <c r="GI51" s="1325"/>
      <c r="GJ51" s="1325"/>
      <c r="GK51" s="1325"/>
      <c r="GL51" s="1325"/>
      <c r="GM51" s="1325"/>
      <c r="GN51" s="1325"/>
      <c r="GO51" s="1325"/>
      <c r="GP51" s="1325"/>
      <c r="GQ51" s="1325"/>
      <c r="GR51" s="1325"/>
      <c r="GS51" s="1325"/>
      <c r="GT51" s="1325"/>
      <c r="GU51" s="1325"/>
      <c r="GV51" s="1325"/>
      <c r="GW51" s="1325"/>
      <c r="GX51" s="1325"/>
      <c r="GY51" s="1325"/>
      <c r="GZ51" s="1325"/>
      <c r="HA51" s="1325"/>
      <c r="HB51" s="1325"/>
      <c r="HC51" s="1325"/>
      <c r="HD51" s="1325"/>
      <c r="HE51" s="1325"/>
      <c r="HF51" s="1325"/>
      <c r="HG51" s="1325"/>
      <c r="HH51" s="1325"/>
      <c r="HI51" s="1325"/>
      <c r="HJ51" s="1325"/>
      <c r="HK51" s="1325"/>
      <c r="HL51" s="1325"/>
      <c r="HM51" s="1325"/>
      <c r="HN51" s="1325"/>
      <c r="HO51" s="1325"/>
      <c r="HP51" s="1325"/>
      <c r="HQ51" s="1325"/>
      <c r="HR51" s="1325"/>
      <c r="HS51" s="1325"/>
      <c r="HT51" s="1325"/>
      <c r="HU51" s="1325"/>
      <c r="HV51" s="1325"/>
      <c r="HW51" s="1325"/>
      <c r="HX51" s="1325"/>
      <c r="HY51" s="1325"/>
      <c r="HZ51" s="1325"/>
      <c r="IA51" s="1325"/>
      <c r="IB51" s="1325"/>
      <c r="IC51" s="1325"/>
      <c r="ID51" s="1325"/>
      <c r="IE51" s="1325"/>
      <c r="IF51" s="1325"/>
      <c r="IG51" s="1325"/>
      <c r="IH51" s="1325"/>
      <c r="II51" s="1325"/>
      <c r="IJ51" s="1325"/>
      <c r="IK51" s="1325"/>
      <c r="IL51" s="1325"/>
      <c r="IM51" s="1325"/>
      <c r="IN51" s="1325"/>
      <c r="IO51" s="1325"/>
      <c r="IP51" s="1325"/>
      <c r="IQ51" s="1325"/>
      <c r="IR51" s="1325"/>
      <c r="IS51" s="1325"/>
      <c r="IT51" s="1325"/>
      <c r="IU51" s="1325"/>
      <c r="IV51" s="1325"/>
    </row>
    <row r="52" spans="1:256" ht="31.5">
      <c r="A52" s="1365" t="s">
        <v>846</v>
      </c>
      <c r="B52" s="1366" t="s">
        <v>847</v>
      </c>
      <c r="C52" s="1367"/>
      <c r="D52" s="1367"/>
      <c r="E52" s="1325"/>
      <c r="F52" s="1325"/>
      <c r="G52" s="1325"/>
      <c r="H52" s="1325"/>
      <c r="I52" s="1325"/>
      <c r="J52" s="1325"/>
      <c r="K52" s="1325"/>
      <c r="L52" s="1325"/>
      <c r="M52" s="1325"/>
      <c r="N52" s="1325"/>
      <c r="O52" s="1325"/>
      <c r="P52" s="1325"/>
      <c r="Q52" s="1325"/>
      <c r="R52" s="1325"/>
      <c r="S52" s="1325"/>
      <c r="T52" s="1325"/>
      <c r="U52" s="1325"/>
      <c r="V52" s="1325"/>
      <c r="W52" s="1325"/>
      <c r="X52" s="1325"/>
      <c r="Y52" s="1325"/>
      <c r="Z52" s="1325"/>
      <c r="AA52" s="1325"/>
      <c r="AB52" s="1325"/>
      <c r="AC52" s="1325"/>
      <c r="AD52" s="1325"/>
      <c r="AE52" s="1325"/>
      <c r="AF52" s="1325"/>
      <c r="AG52" s="1325"/>
      <c r="AH52" s="1325"/>
      <c r="AI52" s="1325"/>
      <c r="AJ52" s="1325"/>
      <c r="AK52" s="1325"/>
      <c r="AL52" s="1325"/>
      <c r="AM52" s="1325"/>
      <c r="AN52" s="1325"/>
      <c r="AO52" s="1325"/>
      <c r="AP52" s="1325"/>
      <c r="AQ52" s="1325"/>
      <c r="AR52" s="1325"/>
      <c r="AS52" s="1325"/>
      <c r="AT52" s="1325"/>
      <c r="AU52" s="1325"/>
      <c r="AV52" s="1325"/>
      <c r="AW52" s="1325"/>
      <c r="AX52" s="1325"/>
      <c r="AY52" s="1325"/>
      <c r="AZ52" s="1325"/>
      <c r="BA52" s="1325"/>
      <c r="BB52" s="1325"/>
      <c r="BC52" s="1325"/>
      <c r="BD52" s="1325"/>
      <c r="BE52" s="1325"/>
      <c r="BF52" s="1325"/>
      <c r="BG52" s="1325"/>
      <c r="BH52" s="1325"/>
      <c r="BI52" s="1325"/>
      <c r="BJ52" s="1325"/>
      <c r="BK52" s="1325"/>
      <c r="BL52" s="1325"/>
      <c r="BM52" s="1325"/>
      <c r="BN52" s="1325"/>
      <c r="BO52" s="1325"/>
      <c r="BP52" s="1325"/>
      <c r="BQ52" s="1325"/>
      <c r="BR52" s="1325"/>
      <c r="BS52" s="1325"/>
      <c r="BT52" s="1325"/>
      <c r="BU52" s="1325"/>
      <c r="BV52" s="1325"/>
      <c r="BW52" s="1325"/>
      <c r="BX52" s="1325"/>
      <c r="BY52" s="1325"/>
      <c r="BZ52" s="1325"/>
      <c r="CA52" s="1325"/>
      <c r="CB52" s="1325"/>
      <c r="CC52" s="1325"/>
      <c r="CD52" s="1325"/>
      <c r="CE52" s="1325"/>
      <c r="CF52" s="1325"/>
      <c r="CG52" s="1325"/>
      <c r="CH52" s="1325"/>
      <c r="CI52" s="1325"/>
      <c r="CJ52" s="1325"/>
      <c r="CK52" s="1325"/>
      <c r="CL52" s="1325"/>
      <c r="CM52" s="1325"/>
      <c r="CN52" s="1325"/>
      <c r="CO52" s="1325"/>
      <c r="CP52" s="1325"/>
      <c r="CQ52" s="1325"/>
      <c r="CR52" s="1325"/>
      <c r="CS52" s="1325"/>
      <c r="CT52" s="1325"/>
      <c r="CU52" s="1325"/>
      <c r="CV52" s="1325"/>
      <c r="CW52" s="1325"/>
      <c r="CX52" s="1325"/>
      <c r="CY52" s="1325"/>
      <c r="CZ52" s="1325"/>
      <c r="DA52" s="1325"/>
      <c r="DB52" s="1325"/>
      <c r="DC52" s="1325"/>
      <c r="DD52" s="1325"/>
      <c r="DE52" s="1325"/>
      <c r="DF52" s="1325"/>
      <c r="DG52" s="1325"/>
      <c r="DH52" s="1325"/>
      <c r="DI52" s="1325"/>
      <c r="DJ52" s="1325"/>
      <c r="DK52" s="1325"/>
      <c r="DL52" s="1325"/>
      <c r="DM52" s="1325"/>
      <c r="DN52" s="1325"/>
      <c r="DO52" s="1325"/>
      <c r="DP52" s="1325"/>
      <c r="DQ52" s="1325"/>
      <c r="DR52" s="1325"/>
      <c r="DS52" s="1325"/>
      <c r="DT52" s="1325"/>
      <c r="DU52" s="1325"/>
      <c r="DV52" s="1325"/>
      <c r="DW52" s="1325"/>
      <c r="DX52" s="1325"/>
      <c r="DY52" s="1325"/>
      <c r="DZ52" s="1325"/>
      <c r="EA52" s="1325"/>
      <c r="EB52" s="1325"/>
      <c r="EC52" s="1325"/>
      <c r="ED52" s="1325"/>
      <c r="EE52" s="1325"/>
      <c r="EF52" s="1325"/>
      <c r="EG52" s="1325"/>
      <c r="EH52" s="1325"/>
      <c r="EI52" s="1325"/>
      <c r="EJ52" s="1325"/>
      <c r="EK52" s="1325"/>
      <c r="EL52" s="1325"/>
      <c r="EM52" s="1325"/>
      <c r="EN52" s="1325"/>
      <c r="EO52" s="1325"/>
      <c r="EP52" s="1325"/>
      <c r="EQ52" s="1325"/>
      <c r="ER52" s="1325"/>
      <c r="ES52" s="1325"/>
      <c r="ET52" s="1325"/>
      <c r="EU52" s="1325"/>
      <c r="EV52" s="1325"/>
      <c r="EW52" s="1325"/>
      <c r="EX52" s="1325"/>
      <c r="EY52" s="1325"/>
      <c r="EZ52" s="1325"/>
      <c r="FA52" s="1325"/>
      <c r="FB52" s="1325"/>
      <c r="FC52" s="1325"/>
      <c r="FD52" s="1325"/>
      <c r="FE52" s="1325"/>
      <c r="FF52" s="1325"/>
      <c r="FG52" s="1325"/>
      <c r="FH52" s="1325"/>
      <c r="FI52" s="1325"/>
      <c r="FJ52" s="1325"/>
      <c r="FK52" s="1325"/>
      <c r="FL52" s="1325"/>
      <c r="FM52" s="1325"/>
      <c r="FN52" s="1325"/>
      <c r="FO52" s="1325"/>
      <c r="FP52" s="1325"/>
      <c r="FQ52" s="1325"/>
      <c r="FR52" s="1325"/>
      <c r="FS52" s="1325"/>
      <c r="FT52" s="1325"/>
      <c r="FU52" s="1325"/>
      <c r="FV52" s="1325"/>
      <c r="FW52" s="1325"/>
      <c r="FX52" s="1325"/>
      <c r="FY52" s="1325"/>
      <c r="FZ52" s="1325"/>
      <c r="GA52" s="1325"/>
      <c r="GB52" s="1325"/>
      <c r="GC52" s="1325"/>
      <c r="GD52" s="1325"/>
      <c r="GE52" s="1325"/>
      <c r="GF52" s="1325"/>
      <c r="GG52" s="1325"/>
      <c r="GH52" s="1325"/>
      <c r="GI52" s="1325"/>
      <c r="GJ52" s="1325"/>
      <c r="GK52" s="1325"/>
      <c r="GL52" s="1325"/>
      <c r="GM52" s="1325"/>
      <c r="GN52" s="1325"/>
      <c r="GO52" s="1325"/>
      <c r="GP52" s="1325"/>
      <c r="GQ52" s="1325"/>
      <c r="GR52" s="1325"/>
      <c r="GS52" s="1325"/>
      <c r="GT52" s="1325"/>
      <c r="GU52" s="1325"/>
      <c r="GV52" s="1325"/>
      <c r="GW52" s="1325"/>
      <c r="GX52" s="1325"/>
      <c r="GY52" s="1325"/>
      <c r="GZ52" s="1325"/>
      <c r="HA52" s="1325"/>
      <c r="HB52" s="1325"/>
      <c r="HC52" s="1325"/>
      <c r="HD52" s="1325"/>
      <c r="HE52" s="1325"/>
      <c r="HF52" s="1325"/>
      <c r="HG52" s="1325"/>
      <c r="HH52" s="1325"/>
      <c r="HI52" s="1325"/>
      <c r="HJ52" s="1325"/>
      <c r="HK52" s="1325"/>
      <c r="HL52" s="1325"/>
      <c r="HM52" s="1325"/>
      <c r="HN52" s="1325"/>
      <c r="HO52" s="1325"/>
      <c r="HP52" s="1325"/>
      <c r="HQ52" s="1325"/>
      <c r="HR52" s="1325"/>
      <c r="HS52" s="1325"/>
      <c r="HT52" s="1325"/>
      <c r="HU52" s="1325"/>
      <c r="HV52" s="1325"/>
      <c r="HW52" s="1325"/>
      <c r="HX52" s="1325"/>
      <c r="HY52" s="1325"/>
      <c r="HZ52" s="1325"/>
      <c r="IA52" s="1325"/>
      <c r="IB52" s="1325"/>
      <c r="IC52" s="1325"/>
      <c r="ID52" s="1325"/>
      <c r="IE52" s="1325"/>
      <c r="IF52" s="1325"/>
      <c r="IG52" s="1325"/>
      <c r="IH52" s="1325"/>
      <c r="II52" s="1325"/>
      <c r="IJ52" s="1325"/>
      <c r="IK52" s="1325"/>
      <c r="IL52" s="1325"/>
      <c r="IM52" s="1325"/>
      <c r="IN52" s="1325"/>
      <c r="IO52" s="1325"/>
      <c r="IP52" s="1325"/>
      <c r="IQ52" s="1325"/>
      <c r="IR52" s="1325"/>
      <c r="IS52" s="1325"/>
      <c r="IT52" s="1325"/>
      <c r="IU52" s="1325"/>
      <c r="IV52" s="1325"/>
    </row>
    <row r="53" spans="1:256" ht="15.75">
      <c r="A53" s="1365" t="s">
        <v>848</v>
      </c>
      <c r="B53" s="1366" t="s">
        <v>849</v>
      </c>
      <c r="C53" s="1367"/>
      <c r="D53" s="1367"/>
      <c r="E53" s="1325"/>
      <c r="F53" s="1325"/>
      <c r="G53" s="1325"/>
      <c r="H53" s="1325"/>
      <c r="I53" s="1325"/>
      <c r="J53" s="1325"/>
      <c r="K53" s="1325"/>
      <c r="L53" s="1325"/>
      <c r="M53" s="1325"/>
      <c r="N53" s="1325"/>
      <c r="O53" s="1325"/>
      <c r="P53" s="1325"/>
      <c r="Q53" s="1325"/>
      <c r="R53" s="1325"/>
      <c r="S53" s="1325"/>
      <c r="T53" s="1325"/>
      <c r="U53" s="1325"/>
      <c r="V53" s="1325"/>
      <c r="W53" s="1325"/>
      <c r="X53" s="1325"/>
      <c r="Y53" s="1325"/>
      <c r="Z53" s="1325"/>
      <c r="AA53" s="1325"/>
      <c r="AB53" s="1325"/>
      <c r="AC53" s="1325"/>
      <c r="AD53" s="1325"/>
      <c r="AE53" s="1325"/>
      <c r="AF53" s="1325"/>
      <c r="AG53" s="1325"/>
      <c r="AH53" s="1325"/>
      <c r="AI53" s="1325"/>
      <c r="AJ53" s="1325"/>
      <c r="AK53" s="1325"/>
      <c r="AL53" s="1325"/>
      <c r="AM53" s="1325"/>
      <c r="AN53" s="1325"/>
      <c r="AO53" s="1325"/>
      <c r="AP53" s="1325"/>
      <c r="AQ53" s="1325"/>
      <c r="AR53" s="1325"/>
      <c r="AS53" s="1325"/>
      <c r="AT53" s="1325"/>
      <c r="AU53" s="1325"/>
      <c r="AV53" s="1325"/>
      <c r="AW53" s="1325"/>
      <c r="AX53" s="1325"/>
      <c r="AY53" s="1325"/>
      <c r="AZ53" s="1325"/>
      <c r="BA53" s="1325"/>
      <c r="BB53" s="1325"/>
      <c r="BC53" s="1325"/>
      <c r="BD53" s="1325"/>
      <c r="BE53" s="1325"/>
      <c r="BF53" s="1325"/>
      <c r="BG53" s="1325"/>
      <c r="BH53" s="1325"/>
      <c r="BI53" s="1325"/>
      <c r="BJ53" s="1325"/>
      <c r="BK53" s="1325"/>
      <c r="BL53" s="1325"/>
      <c r="BM53" s="1325"/>
      <c r="BN53" s="1325"/>
      <c r="BO53" s="1325"/>
      <c r="BP53" s="1325"/>
      <c r="BQ53" s="1325"/>
      <c r="BR53" s="1325"/>
      <c r="BS53" s="1325"/>
      <c r="BT53" s="1325"/>
      <c r="BU53" s="1325"/>
      <c r="BV53" s="1325"/>
      <c r="BW53" s="1325"/>
      <c r="BX53" s="1325"/>
      <c r="BY53" s="1325"/>
      <c r="BZ53" s="1325"/>
      <c r="CA53" s="1325"/>
      <c r="CB53" s="1325"/>
      <c r="CC53" s="1325"/>
      <c r="CD53" s="1325"/>
      <c r="CE53" s="1325"/>
      <c r="CF53" s="1325"/>
      <c r="CG53" s="1325"/>
      <c r="CH53" s="1325"/>
      <c r="CI53" s="1325"/>
      <c r="CJ53" s="1325"/>
      <c r="CK53" s="1325"/>
      <c r="CL53" s="1325"/>
      <c r="CM53" s="1325"/>
      <c r="CN53" s="1325"/>
      <c r="CO53" s="1325"/>
      <c r="CP53" s="1325"/>
      <c r="CQ53" s="1325"/>
      <c r="CR53" s="1325"/>
      <c r="CS53" s="1325"/>
      <c r="CT53" s="1325"/>
      <c r="CU53" s="1325"/>
      <c r="CV53" s="1325"/>
      <c r="CW53" s="1325"/>
      <c r="CX53" s="1325"/>
      <c r="CY53" s="1325"/>
      <c r="CZ53" s="1325"/>
      <c r="DA53" s="1325"/>
      <c r="DB53" s="1325"/>
      <c r="DC53" s="1325"/>
      <c r="DD53" s="1325"/>
      <c r="DE53" s="1325"/>
      <c r="DF53" s="1325"/>
      <c r="DG53" s="1325"/>
      <c r="DH53" s="1325"/>
      <c r="DI53" s="1325"/>
      <c r="DJ53" s="1325"/>
      <c r="DK53" s="1325"/>
      <c r="DL53" s="1325"/>
      <c r="DM53" s="1325"/>
      <c r="DN53" s="1325"/>
      <c r="DO53" s="1325"/>
      <c r="DP53" s="1325"/>
      <c r="DQ53" s="1325"/>
      <c r="DR53" s="1325"/>
      <c r="DS53" s="1325"/>
      <c r="DT53" s="1325"/>
      <c r="DU53" s="1325"/>
      <c r="DV53" s="1325"/>
      <c r="DW53" s="1325"/>
      <c r="DX53" s="1325"/>
      <c r="DY53" s="1325"/>
      <c r="DZ53" s="1325"/>
      <c r="EA53" s="1325"/>
      <c r="EB53" s="1325"/>
      <c r="EC53" s="1325"/>
      <c r="ED53" s="1325"/>
      <c r="EE53" s="1325"/>
      <c r="EF53" s="1325"/>
      <c r="EG53" s="1325"/>
      <c r="EH53" s="1325"/>
      <c r="EI53" s="1325"/>
      <c r="EJ53" s="1325"/>
      <c r="EK53" s="1325"/>
      <c r="EL53" s="1325"/>
      <c r="EM53" s="1325"/>
      <c r="EN53" s="1325"/>
      <c r="EO53" s="1325"/>
      <c r="EP53" s="1325"/>
      <c r="EQ53" s="1325"/>
      <c r="ER53" s="1325"/>
      <c r="ES53" s="1325"/>
      <c r="ET53" s="1325"/>
      <c r="EU53" s="1325"/>
      <c r="EV53" s="1325"/>
      <c r="EW53" s="1325"/>
      <c r="EX53" s="1325"/>
      <c r="EY53" s="1325"/>
      <c r="EZ53" s="1325"/>
      <c r="FA53" s="1325"/>
      <c r="FB53" s="1325"/>
      <c r="FC53" s="1325"/>
      <c r="FD53" s="1325"/>
      <c r="FE53" s="1325"/>
      <c r="FF53" s="1325"/>
      <c r="FG53" s="1325"/>
      <c r="FH53" s="1325"/>
      <c r="FI53" s="1325"/>
      <c r="FJ53" s="1325"/>
      <c r="FK53" s="1325"/>
      <c r="FL53" s="1325"/>
      <c r="FM53" s="1325"/>
      <c r="FN53" s="1325"/>
      <c r="FO53" s="1325"/>
      <c r="FP53" s="1325"/>
      <c r="FQ53" s="1325"/>
      <c r="FR53" s="1325"/>
      <c r="FS53" s="1325"/>
      <c r="FT53" s="1325"/>
      <c r="FU53" s="1325"/>
      <c r="FV53" s="1325"/>
      <c r="FW53" s="1325"/>
      <c r="FX53" s="1325"/>
      <c r="FY53" s="1325"/>
      <c r="FZ53" s="1325"/>
      <c r="GA53" s="1325"/>
      <c r="GB53" s="1325"/>
      <c r="GC53" s="1325"/>
      <c r="GD53" s="1325"/>
      <c r="GE53" s="1325"/>
      <c r="GF53" s="1325"/>
      <c r="GG53" s="1325"/>
      <c r="GH53" s="1325"/>
      <c r="GI53" s="1325"/>
      <c r="GJ53" s="1325"/>
      <c r="GK53" s="1325"/>
      <c r="GL53" s="1325"/>
      <c r="GM53" s="1325"/>
      <c r="GN53" s="1325"/>
      <c r="GO53" s="1325"/>
      <c r="GP53" s="1325"/>
      <c r="GQ53" s="1325"/>
      <c r="GR53" s="1325"/>
      <c r="GS53" s="1325"/>
      <c r="GT53" s="1325"/>
      <c r="GU53" s="1325"/>
      <c r="GV53" s="1325"/>
      <c r="GW53" s="1325"/>
      <c r="GX53" s="1325"/>
      <c r="GY53" s="1325"/>
      <c r="GZ53" s="1325"/>
      <c r="HA53" s="1325"/>
      <c r="HB53" s="1325"/>
      <c r="HC53" s="1325"/>
      <c r="HD53" s="1325"/>
      <c r="HE53" s="1325"/>
      <c r="HF53" s="1325"/>
      <c r="HG53" s="1325"/>
      <c r="HH53" s="1325"/>
      <c r="HI53" s="1325"/>
      <c r="HJ53" s="1325"/>
      <c r="HK53" s="1325"/>
      <c r="HL53" s="1325"/>
      <c r="HM53" s="1325"/>
      <c r="HN53" s="1325"/>
      <c r="HO53" s="1325"/>
      <c r="HP53" s="1325"/>
      <c r="HQ53" s="1325"/>
      <c r="HR53" s="1325"/>
      <c r="HS53" s="1325"/>
      <c r="HT53" s="1325"/>
      <c r="HU53" s="1325"/>
      <c r="HV53" s="1325"/>
      <c r="HW53" s="1325"/>
      <c r="HX53" s="1325"/>
      <c r="HY53" s="1325"/>
      <c r="HZ53" s="1325"/>
      <c r="IA53" s="1325"/>
      <c r="IB53" s="1325"/>
      <c r="IC53" s="1325"/>
      <c r="ID53" s="1325"/>
      <c r="IE53" s="1325"/>
      <c r="IF53" s="1325"/>
      <c r="IG53" s="1325"/>
      <c r="IH53" s="1325"/>
      <c r="II53" s="1325"/>
      <c r="IJ53" s="1325"/>
      <c r="IK53" s="1325"/>
      <c r="IL53" s="1325"/>
      <c r="IM53" s="1325"/>
      <c r="IN53" s="1325"/>
      <c r="IO53" s="1325"/>
      <c r="IP53" s="1325"/>
      <c r="IQ53" s="1325"/>
      <c r="IR53" s="1325"/>
      <c r="IS53" s="1325"/>
      <c r="IT53" s="1325"/>
      <c r="IU53" s="1325"/>
      <c r="IV53" s="1325"/>
    </row>
    <row r="54" spans="1:256" ht="15.75">
      <c r="A54" s="1368" t="s">
        <v>850</v>
      </c>
      <c r="B54" s="1366" t="s">
        <v>851</v>
      </c>
      <c r="C54" s="1367"/>
      <c r="D54" s="1367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1325"/>
      <c r="AG54" s="1325"/>
      <c r="AH54" s="1325"/>
      <c r="AI54" s="1325"/>
      <c r="AJ54" s="1325"/>
      <c r="AK54" s="1325"/>
      <c r="AL54" s="1325"/>
      <c r="AM54" s="1325"/>
      <c r="AN54" s="1325"/>
      <c r="AO54" s="1325"/>
      <c r="AP54" s="1325"/>
      <c r="AQ54" s="1325"/>
      <c r="AR54" s="1325"/>
      <c r="AS54" s="1325"/>
      <c r="AT54" s="1325"/>
      <c r="AU54" s="1325"/>
      <c r="AV54" s="1325"/>
      <c r="AW54" s="1325"/>
      <c r="AX54" s="1325"/>
      <c r="AY54" s="1325"/>
      <c r="AZ54" s="1325"/>
      <c r="BA54" s="1325"/>
      <c r="BB54" s="1325"/>
      <c r="BC54" s="1325"/>
      <c r="BD54" s="1325"/>
      <c r="BE54" s="1325"/>
      <c r="BF54" s="1325"/>
      <c r="BG54" s="1325"/>
      <c r="BH54" s="1325"/>
      <c r="BI54" s="1325"/>
      <c r="BJ54" s="1325"/>
      <c r="BK54" s="1325"/>
      <c r="BL54" s="1325"/>
      <c r="BM54" s="1325"/>
      <c r="BN54" s="1325"/>
      <c r="BO54" s="1325"/>
      <c r="BP54" s="1325"/>
      <c r="BQ54" s="1325"/>
      <c r="BR54" s="1325"/>
      <c r="BS54" s="1325"/>
      <c r="BT54" s="1325"/>
      <c r="BU54" s="1325"/>
      <c r="BV54" s="1325"/>
      <c r="BW54" s="1325"/>
      <c r="BX54" s="1325"/>
      <c r="BY54" s="1325"/>
      <c r="BZ54" s="1325"/>
      <c r="CA54" s="1325"/>
      <c r="CB54" s="1325"/>
      <c r="CC54" s="1325"/>
      <c r="CD54" s="1325"/>
      <c r="CE54" s="1325"/>
      <c r="CF54" s="1325"/>
      <c r="CG54" s="1325"/>
      <c r="CH54" s="1325"/>
      <c r="CI54" s="1325"/>
      <c r="CJ54" s="1325"/>
      <c r="CK54" s="1325"/>
      <c r="CL54" s="1325"/>
      <c r="CM54" s="1325"/>
      <c r="CN54" s="1325"/>
      <c r="CO54" s="1325"/>
      <c r="CP54" s="1325"/>
      <c r="CQ54" s="1325"/>
      <c r="CR54" s="1325"/>
      <c r="CS54" s="1325"/>
      <c r="CT54" s="1325"/>
      <c r="CU54" s="1325"/>
      <c r="CV54" s="1325"/>
      <c r="CW54" s="1325"/>
      <c r="CX54" s="1325"/>
      <c r="CY54" s="1325"/>
      <c r="CZ54" s="1325"/>
      <c r="DA54" s="1325"/>
      <c r="DB54" s="1325"/>
      <c r="DC54" s="1325"/>
      <c r="DD54" s="1325"/>
      <c r="DE54" s="1325"/>
      <c r="DF54" s="1325"/>
      <c r="DG54" s="1325"/>
      <c r="DH54" s="1325"/>
      <c r="DI54" s="1325"/>
      <c r="DJ54" s="1325"/>
      <c r="DK54" s="1325"/>
      <c r="DL54" s="1325"/>
      <c r="DM54" s="1325"/>
      <c r="DN54" s="1325"/>
      <c r="DO54" s="1325"/>
      <c r="DP54" s="1325"/>
      <c r="DQ54" s="1325"/>
      <c r="DR54" s="1325"/>
      <c r="DS54" s="1325"/>
      <c r="DT54" s="1325"/>
      <c r="DU54" s="1325"/>
      <c r="DV54" s="1325"/>
      <c r="DW54" s="1325"/>
      <c r="DX54" s="1325"/>
      <c r="DY54" s="1325"/>
      <c r="DZ54" s="1325"/>
      <c r="EA54" s="1325"/>
      <c r="EB54" s="1325"/>
      <c r="EC54" s="1325"/>
      <c r="ED54" s="1325"/>
      <c r="EE54" s="1325"/>
      <c r="EF54" s="1325"/>
      <c r="EG54" s="1325"/>
      <c r="EH54" s="1325"/>
      <c r="EI54" s="1325"/>
      <c r="EJ54" s="1325"/>
      <c r="EK54" s="1325"/>
      <c r="EL54" s="1325"/>
      <c r="EM54" s="1325"/>
      <c r="EN54" s="1325"/>
      <c r="EO54" s="1325"/>
      <c r="EP54" s="1325"/>
      <c r="EQ54" s="1325"/>
      <c r="ER54" s="1325"/>
      <c r="ES54" s="1325"/>
      <c r="ET54" s="1325"/>
      <c r="EU54" s="1325"/>
      <c r="EV54" s="1325"/>
      <c r="EW54" s="1325"/>
      <c r="EX54" s="1325"/>
      <c r="EY54" s="1325"/>
      <c r="EZ54" s="1325"/>
      <c r="FA54" s="1325"/>
      <c r="FB54" s="1325"/>
      <c r="FC54" s="1325"/>
      <c r="FD54" s="1325"/>
      <c r="FE54" s="1325"/>
      <c r="FF54" s="1325"/>
      <c r="FG54" s="1325"/>
      <c r="FH54" s="1325"/>
      <c r="FI54" s="1325"/>
      <c r="FJ54" s="1325"/>
      <c r="FK54" s="1325"/>
      <c r="FL54" s="1325"/>
      <c r="FM54" s="1325"/>
      <c r="FN54" s="1325"/>
      <c r="FO54" s="1325"/>
      <c r="FP54" s="1325"/>
      <c r="FQ54" s="1325"/>
      <c r="FR54" s="1325"/>
      <c r="FS54" s="1325"/>
      <c r="FT54" s="1325"/>
      <c r="FU54" s="1325"/>
      <c r="FV54" s="1325"/>
      <c r="FW54" s="1325"/>
      <c r="FX54" s="1325"/>
      <c r="FY54" s="1325"/>
      <c r="FZ54" s="1325"/>
      <c r="GA54" s="1325"/>
      <c r="GB54" s="1325"/>
      <c r="GC54" s="1325"/>
      <c r="GD54" s="1325"/>
      <c r="GE54" s="1325"/>
      <c r="GF54" s="1325"/>
      <c r="GG54" s="1325"/>
      <c r="GH54" s="1325"/>
      <c r="GI54" s="1325"/>
      <c r="GJ54" s="1325"/>
      <c r="GK54" s="1325"/>
      <c r="GL54" s="1325"/>
      <c r="GM54" s="1325"/>
      <c r="GN54" s="1325"/>
      <c r="GO54" s="1325"/>
      <c r="GP54" s="1325"/>
      <c r="GQ54" s="1325"/>
      <c r="GR54" s="1325"/>
      <c r="GS54" s="1325"/>
      <c r="GT54" s="1325"/>
      <c r="GU54" s="1325"/>
      <c r="GV54" s="1325"/>
      <c r="GW54" s="1325"/>
      <c r="GX54" s="1325"/>
      <c r="GY54" s="1325"/>
      <c r="GZ54" s="1325"/>
      <c r="HA54" s="1325"/>
      <c r="HB54" s="1325"/>
      <c r="HC54" s="1325"/>
      <c r="HD54" s="1325"/>
      <c r="HE54" s="1325"/>
      <c r="HF54" s="1325"/>
      <c r="HG54" s="1325"/>
      <c r="HH54" s="1325"/>
      <c r="HI54" s="1325"/>
      <c r="HJ54" s="1325"/>
      <c r="HK54" s="1325"/>
      <c r="HL54" s="1325"/>
      <c r="HM54" s="1325"/>
      <c r="HN54" s="1325"/>
      <c r="HO54" s="1325"/>
      <c r="HP54" s="1325"/>
      <c r="HQ54" s="1325"/>
      <c r="HR54" s="1325"/>
      <c r="HS54" s="1325"/>
      <c r="HT54" s="1325"/>
      <c r="HU54" s="1325"/>
      <c r="HV54" s="1325"/>
      <c r="HW54" s="1325"/>
      <c r="HX54" s="1325"/>
      <c r="HY54" s="1325"/>
      <c r="HZ54" s="1325"/>
      <c r="IA54" s="1325"/>
      <c r="IB54" s="1325"/>
      <c r="IC54" s="1325"/>
      <c r="ID54" s="1325"/>
      <c r="IE54" s="1325"/>
      <c r="IF54" s="1325"/>
      <c r="IG54" s="1325"/>
      <c r="IH54" s="1325"/>
      <c r="II54" s="1325"/>
      <c r="IJ54" s="1325"/>
      <c r="IK54" s="1325"/>
      <c r="IL54" s="1325"/>
      <c r="IM54" s="1325"/>
      <c r="IN54" s="1325"/>
      <c r="IO54" s="1325"/>
      <c r="IP54" s="1325"/>
      <c r="IQ54" s="1325"/>
      <c r="IR54" s="1325"/>
      <c r="IS54" s="1325"/>
      <c r="IT54" s="1325"/>
      <c r="IU54" s="1325"/>
      <c r="IV54" s="1325"/>
    </row>
    <row r="55" spans="1:4" ht="47.25">
      <c r="A55" s="1368" t="s">
        <v>852</v>
      </c>
      <c r="B55" s="1369" t="s">
        <v>853</v>
      </c>
      <c r="C55" s="1371">
        <f>SUM(C7+C12+C38+C54)</f>
        <v>16805759</v>
      </c>
      <c r="D55" s="1371">
        <f>SUM(D7+D12+D38+D54)</f>
        <v>482977</v>
      </c>
    </row>
    <row r="56" spans="1:4" ht="15.75">
      <c r="A56" s="1368" t="s">
        <v>854</v>
      </c>
      <c r="B56" s="1366" t="s">
        <v>855</v>
      </c>
      <c r="C56" s="1373"/>
      <c r="D56" s="1373"/>
    </row>
    <row r="57" spans="1:4" ht="15.75">
      <c r="A57" s="1368" t="s">
        <v>856</v>
      </c>
      <c r="B57" s="1366" t="s">
        <v>857</v>
      </c>
      <c r="C57" s="1367"/>
      <c r="D57" s="1367"/>
    </row>
    <row r="58" spans="1:4" ht="31.5">
      <c r="A58" s="1368" t="s">
        <v>858</v>
      </c>
      <c r="B58" s="1369" t="s">
        <v>859</v>
      </c>
      <c r="C58" s="1371"/>
      <c r="D58" s="1371"/>
    </row>
    <row r="59" spans="1:4" ht="15.75">
      <c r="A59" s="1368" t="s">
        <v>860</v>
      </c>
      <c r="B59" s="1366" t="s">
        <v>861</v>
      </c>
      <c r="C59" s="1374"/>
      <c r="D59" s="1373"/>
    </row>
    <row r="60" spans="1:4" ht="15.75">
      <c r="A60" s="1368" t="s">
        <v>862</v>
      </c>
      <c r="B60" s="1366" t="s">
        <v>863</v>
      </c>
      <c r="C60" s="1374"/>
      <c r="D60" s="1373"/>
    </row>
    <row r="61" spans="1:4" ht="15.75">
      <c r="A61" s="1368" t="s">
        <v>864</v>
      </c>
      <c r="B61" s="1366" t="s">
        <v>865</v>
      </c>
      <c r="C61" s="1374"/>
      <c r="D61" s="1373">
        <v>1254166</v>
      </c>
    </row>
    <row r="62" spans="1:4" ht="15.75">
      <c r="A62" s="1368" t="s">
        <v>866</v>
      </c>
      <c r="B62" s="1366" t="s">
        <v>867</v>
      </c>
      <c r="C62" s="1374"/>
      <c r="D62" s="1373"/>
    </row>
    <row r="63" spans="1:4" ht="15.75">
      <c r="A63" s="1368" t="s">
        <v>868</v>
      </c>
      <c r="B63" s="1366" t="s">
        <v>869</v>
      </c>
      <c r="C63" s="1374"/>
      <c r="D63" s="1373"/>
    </row>
    <row r="64" spans="1:4" ht="15.75">
      <c r="A64" s="1368" t="s">
        <v>870</v>
      </c>
      <c r="B64" s="1369" t="s">
        <v>871</v>
      </c>
      <c r="C64" s="1375"/>
      <c r="D64" s="1371">
        <f>SUM(D59:D63)</f>
        <v>1254166</v>
      </c>
    </row>
    <row r="65" spans="1:4" ht="15.75">
      <c r="A65" s="1368" t="s">
        <v>872</v>
      </c>
      <c r="B65" s="1366" t="s">
        <v>873</v>
      </c>
      <c r="C65" s="1374"/>
      <c r="D65" s="1373"/>
    </row>
    <row r="66" spans="1:4" ht="15.75">
      <c r="A66" s="1368" t="s">
        <v>874</v>
      </c>
      <c r="B66" s="1366" t="s">
        <v>875</v>
      </c>
      <c r="C66" s="1374"/>
      <c r="D66" s="1373"/>
    </row>
    <row r="67" spans="1:4" ht="15.75">
      <c r="A67" s="1368" t="s">
        <v>876</v>
      </c>
      <c r="B67" s="1366" t="s">
        <v>877</v>
      </c>
      <c r="C67" s="1374"/>
      <c r="D67" s="1373"/>
    </row>
    <row r="68" spans="1:4" ht="15.75">
      <c r="A68" s="1368" t="s">
        <v>878</v>
      </c>
      <c r="B68" s="1369" t="s">
        <v>879</v>
      </c>
      <c r="C68" s="1375"/>
      <c r="D68" s="1371">
        <f>SUM(D65:D67)</f>
        <v>0</v>
      </c>
    </row>
    <row r="69" spans="1:4" ht="15.75">
      <c r="A69" s="1368" t="s">
        <v>880</v>
      </c>
      <c r="B69" s="1366" t="s">
        <v>881</v>
      </c>
      <c r="C69" s="1374"/>
      <c r="D69" s="1373"/>
    </row>
    <row r="70" spans="1:4" ht="47.25">
      <c r="A70" s="1368" t="s">
        <v>882</v>
      </c>
      <c r="B70" s="1366" t="s">
        <v>883</v>
      </c>
      <c r="C70" s="1374"/>
      <c r="D70" s="1373"/>
    </row>
    <row r="71" spans="1:4" ht="31.5">
      <c r="A71" s="1368" t="s">
        <v>884</v>
      </c>
      <c r="B71" s="1369" t="s">
        <v>885</v>
      </c>
      <c r="C71" s="1375"/>
      <c r="D71" s="1371"/>
    </row>
    <row r="72" spans="1:4" ht="15.75">
      <c r="A72" s="1368" t="s">
        <v>886</v>
      </c>
      <c r="B72" s="1369" t="s">
        <v>887</v>
      </c>
      <c r="C72" s="1374"/>
      <c r="D72" s="1373"/>
    </row>
    <row r="73" spans="1:4" ht="16.5" thickBot="1">
      <c r="A73" s="1376" t="s">
        <v>888</v>
      </c>
      <c r="B73" s="1369" t="s">
        <v>889</v>
      </c>
      <c r="C73" s="1377"/>
      <c r="D73" s="1377">
        <f>SUM(D68+D64+D58+D55+D71+D72+D56)</f>
        <v>1737143</v>
      </c>
    </row>
    <row r="75" ht="16.5" thickBot="1"/>
    <row r="76" spans="1:3" ht="15.75">
      <c r="A76" s="2033" t="s">
        <v>890</v>
      </c>
      <c r="B76" s="2035" t="s">
        <v>5</v>
      </c>
      <c r="C76" s="2037" t="s">
        <v>891</v>
      </c>
    </row>
    <row r="77" spans="1:3" ht="15.75">
      <c r="A77" s="2034"/>
      <c r="B77" s="2036"/>
      <c r="C77" s="2038"/>
    </row>
    <row r="78" spans="1:3" ht="16.5" thickBot="1">
      <c r="A78" s="1343" t="s">
        <v>546</v>
      </c>
      <c r="B78" s="1344" t="s">
        <v>14</v>
      </c>
      <c r="C78" s="1345" t="s">
        <v>547</v>
      </c>
    </row>
    <row r="79" spans="1:3" ht="15.75">
      <c r="A79" s="1346" t="s">
        <v>892</v>
      </c>
      <c r="B79" s="1347" t="s">
        <v>771</v>
      </c>
      <c r="C79" s="1348">
        <v>2204204</v>
      </c>
    </row>
    <row r="80" spans="1:3" ht="15.75">
      <c r="A80" s="1346" t="s">
        <v>893</v>
      </c>
      <c r="B80" s="1349" t="s">
        <v>773</v>
      </c>
      <c r="C80" s="1348"/>
    </row>
    <row r="81" spans="1:3" ht="15.75">
      <c r="A81" s="1346" t="s">
        <v>894</v>
      </c>
      <c r="B81" s="1349" t="s">
        <v>775</v>
      </c>
      <c r="C81" s="1348">
        <v>14503886</v>
      </c>
    </row>
    <row r="82" spans="1:3" ht="15.75">
      <c r="A82" s="1346" t="s">
        <v>895</v>
      </c>
      <c r="B82" s="1349" t="s">
        <v>777</v>
      </c>
      <c r="C82" s="1348">
        <v>-21212789</v>
      </c>
    </row>
    <row r="83" spans="1:3" ht="15.75">
      <c r="A83" s="1346" t="s">
        <v>896</v>
      </c>
      <c r="B83" s="1349" t="s">
        <v>779</v>
      </c>
      <c r="C83" s="1350">
        <v>0</v>
      </c>
    </row>
    <row r="84" spans="1:3" ht="15.75">
      <c r="A84" s="1346" t="s">
        <v>897</v>
      </c>
      <c r="B84" s="1349" t="s">
        <v>781</v>
      </c>
      <c r="C84" s="1350">
        <v>-1452213</v>
      </c>
    </row>
    <row r="85" spans="1:3" ht="15.75">
      <c r="A85" s="1346" t="s">
        <v>898</v>
      </c>
      <c r="B85" s="1351" t="s">
        <v>783</v>
      </c>
      <c r="C85" s="1352">
        <f>SUM(C79:C84)</f>
        <v>-5956912</v>
      </c>
    </row>
    <row r="86" spans="1:3" ht="15.75">
      <c r="A86" s="1346" t="s">
        <v>899</v>
      </c>
      <c r="B86" s="1349" t="s">
        <v>785</v>
      </c>
      <c r="C86" s="1353">
        <f>+'[5]12.sz.m.mérleg'!F220</f>
        <v>0</v>
      </c>
    </row>
    <row r="87" spans="1:3" ht="15.75">
      <c r="A87" s="1346" t="s">
        <v>900</v>
      </c>
      <c r="B87" s="1349" t="s">
        <v>787</v>
      </c>
      <c r="C87" s="1350">
        <f>+'[5]12.sz.m.mérleg'!F244</f>
        <v>0</v>
      </c>
    </row>
    <row r="88" spans="1:3" ht="15.75">
      <c r="A88" s="1346" t="s">
        <v>901</v>
      </c>
      <c r="B88" s="1349" t="s">
        <v>384</v>
      </c>
      <c r="C88" s="1350">
        <f>+'[5]12.sz.m.mérleg'!F255</f>
        <v>0</v>
      </c>
    </row>
    <row r="89" spans="1:3" ht="15.75">
      <c r="A89" s="1346" t="s">
        <v>902</v>
      </c>
      <c r="B89" s="1351" t="s">
        <v>404</v>
      </c>
      <c r="C89" s="1352">
        <f>C86+C87+C88</f>
        <v>0</v>
      </c>
    </row>
    <row r="90" spans="1:3" ht="15.75">
      <c r="A90" s="1346" t="s">
        <v>903</v>
      </c>
      <c r="B90" s="1351" t="s">
        <v>405</v>
      </c>
      <c r="C90" s="1350"/>
    </row>
    <row r="91" spans="1:3" ht="15.75">
      <c r="A91" s="1346" t="s">
        <v>904</v>
      </c>
      <c r="B91" s="1351" t="s">
        <v>407</v>
      </c>
      <c r="C91" s="1354">
        <v>7694055</v>
      </c>
    </row>
    <row r="92" spans="1:3" ht="16.5" thickBot="1">
      <c r="A92" s="1355" t="s">
        <v>905</v>
      </c>
      <c r="B92" s="1356" t="s">
        <v>409</v>
      </c>
      <c r="C92" s="1357">
        <f>C85+C89+C90+C91</f>
        <v>1737143</v>
      </c>
    </row>
  </sheetData>
  <sheetProtection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" right="0.7" top="0.75" bottom="0.75" header="0.3" footer="0.3"/>
  <pageSetup horizontalDpi="600" verticalDpi="600" orientation="portrait" paperSize="9" scale="79" r:id="rId1"/>
  <rowBreaks count="2" manualBreakCount="2">
    <brk id="34" max="3" man="1"/>
    <brk id="7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V92"/>
  <sheetViews>
    <sheetView view="pageBreakPreview" zoomScale="60" zoomScalePageLayoutView="0" workbookViewId="0" topLeftCell="A52">
      <selection activeCell="J10" sqref="J10"/>
    </sheetView>
  </sheetViews>
  <sheetFormatPr defaultColWidth="60.421875" defaultRowHeight="48" customHeight="1"/>
  <cols>
    <col min="1" max="1" width="60.421875" style="1334" customWidth="1"/>
    <col min="2" max="2" width="5.57421875" style="1334" customWidth="1"/>
    <col min="3" max="3" width="13.28125" style="1334" customWidth="1"/>
    <col min="4" max="4" width="14.8515625" style="1334" customWidth="1"/>
    <col min="5" max="255" width="10.7109375" style="1334" customWidth="1"/>
    <col min="256" max="16384" width="60.421875" style="1334" customWidth="1"/>
  </cols>
  <sheetData>
    <row r="1" spans="1:256" ht="48" customHeight="1">
      <c r="A1" s="2045" t="s">
        <v>763</v>
      </c>
      <c r="B1" s="2045"/>
      <c r="C1" s="2045"/>
      <c r="D1" s="2045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1317"/>
      <c r="R1" s="1317"/>
      <c r="S1" s="1317"/>
      <c r="T1" s="1317"/>
      <c r="U1" s="1317"/>
      <c r="V1" s="1317"/>
      <c r="W1" s="1317"/>
      <c r="X1" s="1317"/>
      <c r="Y1" s="1317"/>
      <c r="Z1" s="1317"/>
      <c r="AA1" s="1317"/>
      <c r="AB1" s="1317"/>
      <c r="AC1" s="1317"/>
      <c r="AD1" s="1317"/>
      <c r="AE1" s="1317"/>
      <c r="AF1" s="1317"/>
      <c r="AG1" s="1317"/>
      <c r="AH1" s="1317"/>
      <c r="AI1" s="1317"/>
      <c r="AJ1" s="1317"/>
      <c r="AK1" s="1317"/>
      <c r="AL1" s="1317"/>
      <c r="AM1" s="1317"/>
      <c r="AN1" s="1317"/>
      <c r="AO1" s="1317"/>
      <c r="AP1" s="1317"/>
      <c r="AQ1" s="1317"/>
      <c r="AR1" s="1317"/>
      <c r="AS1" s="1317"/>
      <c r="AT1" s="1317"/>
      <c r="AU1" s="1317"/>
      <c r="AV1" s="1317"/>
      <c r="AW1" s="1317"/>
      <c r="AX1" s="1317"/>
      <c r="AY1" s="1317"/>
      <c r="AZ1" s="1317"/>
      <c r="BA1" s="1317"/>
      <c r="BB1" s="1317"/>
      <c r="BC1" s="1317"/>
      <c r="BD1" s="1317"/>
      <c r="BE1" s="1317"/>
      <c r="BF1" s="1317"/>
      <c r="BG1" s="1317"/>
      <c r="BH1" s="1317"/>
      <c r="BI1" s="1317"/>
      <c r="BJ1" s="1317"/>
      <c r="BK1" s="1317"/>
      <c r="BL1" s="1317"/>
      <c r="BM1" s="1317"/>
      <c r="BN1" s="1317"/>
      <c r="BO1" s="1317"/>
      <c r="BP1" s="1317"/>
      <c r="BQ1" s="1317"/>
      <c r="BR1" s="1317"/>
      <c r="BS1" s="1317"/>
      <c r="BT1" s="1317"/>
      <c r="BU1" s="1317"/>
      <c r="BV1" s="1317"/>
      <c r="BW1" s="1317"/>
      <c r="BX1" s="1317"/>
      <c r="BY1" s="1317"/>
      <c r="BZ1" s="1317"/>
      <c r="CA1" s="1317"/>
      <c r="CB1" s="1317"/>
      <c r="CC1" s="1317"/>
      <c r="CD1" s="1317"/>
      <c r="CE1" s="1317"/>
      <c r="CF1" s="1317"/>
      <c r="CG1" s="1317"/>
      <c r="CH1" s="1317"/>
      <c r="CI1" s="1317"/>
      <c r="CJ1" s="1317"/>
      <c r="CK1" s="1317"/>
      <c r="CL1" s="1317"/>
      <c r="CM1" s="1317"/>
      <c r="CN1" s="1317"/>
      <c r="CO1" s="1317"/>
      <c r="CP1" s="1317"/>
      <c r="CQ1" s="1317"/>
      <c r="CR1" s="1317"/>
      <c r="CS1" s="1317"/>
      <c r="CT1" s="1317"/>
      <c r="CU1" s="1317"/>
      <c r="CV1" s="1317"/>
      <c r="CW1" s="1317"/>
      <c r="CX1" s="1317"/>
      <c r="CY1" s="1317"/>
      <c r="CZ1" s="1317"/>
      <c r="DA1" s="1317"/>
      <c r="DB1" s="1317"/>
      <c r="DC1" s="1317"/>
      <c r="DD1" s="1317"/>
      <c r="DE1" s="1317"/>
      <c r="DF1" s="1317"/>
      <c r="DG1" s="1317"/>
      <c r="DH1" s="1317"/>
      <c r="DI1" s="1317"/>
      <c r="DJ1" s="1317"/>
      <c r="DK1" s="1317"/>
      <c r="DL1" s="1317"/>
      <c r="DM1" s="1317"/>
      <c r="DN1" s="1317"/>
      <c r="DO1" s="1317"/>
      <c r="DP1" s="1317"/>
      <c r="DQ1" s="1317"/>
      <c r="DR1" s="1317"/>
      <c r="DS1" s="1317"/>
      <c r="DT1" s="1317"/>
      <c r="DU1" s="1317"/>
      <c r="DV1" s="1317"/>
      <c r="DW1" s="1317"/>
      <c r="DX1" s="1317"/>
      <c r="DY1" s="1317"/>
      <c r="DZ1" s="1317"/>
      <c r="EA1" s="1317"/>
      <c r="EB1" s="1317"/>
      <c r="EC1" s="1317"/>
      <c r="ED1" s="1317"/>
      <c r="EE1" s="1317"/>
      <c r="EF1" s="1317"/>
      <c r="EG1" s="1317"/>
      <c r="EH1" s="1317"/>
      <c r="EI1" s="1317"/>
      <c r="EJ1" s="1317"/>
      <c r="EK1" s="1317"/>
      <c r="EL1" s="1317"/>
      <c r="EM1" s="1317"/>
      <c r="EN1" s="1317"/>
      <c r="EO1" s="1317"/>
      <c r="EP1" s="1317"/>
      <c r="EQ1" s="1317"/>
      <c r="ER1" s="1317"/>
      <c r="ES1" s="1317"/>
      <c r="ET1" s="1317"/>
      <c r="EU1" s="1317"/>
      <c r="EV1" s="1317"/>
      <c r="EW1" s="1317"/>
      <c r="EX1" s="1317"/>
      <c r="EY1" s="1317"/>
      <c r="EZ1" s="1317"/>
      <c r="FA1" s="1317"/>
      <c r="FB1" s="1317"/>
      <c r="FC1" s="1317"/>
      <c r="FD1" s="1317"/>
      <c r="FE1" s="1317"/>
      <c r="FF1" s="1317"/>
      <c r="FG1" s="1317"/>
      <c r="FH1" s="1317"/>
      <c r="FI1" s="1317"/>
      <c r="FJ1" s="1317"/>
      <c r="FK1" s="1317"/>
      <c r="FL1" s="1317"/>
      <c r="FM1" s="1317"/>
      <c r="FN1" s="1317"/>
      <c r="FO1" s="1317"/>
      <c r="FP1" s="1317"/>
      <c r="FQ1" s="1317"/>
      <c r="FR1" s="1317"/>
      <c r="FS1" s="1317"/>
      <c r="FT1" s="1317"/>
      <c r="FU1" s="1317"/>
      <c r="FV1" s="1317"/>
      <c r="FW1" s="1317"/>
      <c r="FX1" s="1317"/>
      <c r="FY1" s="1317"/>
      <c r="FZ1" s="1317"/>
      <c r="GA1" s="1317"/>
      <c r="GB1" s="1317"/>
      <c r="GC1" s="1317"/>
      <c r="GD1" s="1317"/>
      <c r="GE1" s="1317"/>
      <c r="GF1" s="1317"/>
      <c r="GG1" s="1317"/>
      <c r="GH1" s="1317"/>
      <c r="GI1" s="1317"/>
      <c r="GJ1" s="1317"/>
      <c r="GK1" s="1317"/>
      <c r="GL1" s="1317"/>
      <c r="GM1" s="1317"/>
      <c r="GN1" s="1317"/>
      <c r="GO1" s="1317"/>
      <c r="GP1" s="1317"/>
      <c r="GQ1" s="1317"/>
      <c r="GR1" s="1317"/>
      <c r="GS1" s="1317"/>
      <c r="GT1" s="1317"/>
      <c r="GU1" s="1317"/>
      <c r="GV1" s="1317"/>
      <c r="GW1" s="1317"/>
      <c r="GX1" s="1317"/>
      <c r="GY1" s="1317"/>
      <c r="GZ1" s="1317"/>
      <c r="HA1" s="1317"/>
      <c r="HB1" s="1317"/>
      <c r="HC1" s="1317"/>
      <c r="HD1" s="1317"/>
      <c r="HE1" s="1317"/>
      <c r="HF1" s="1317"/>
      <c r="HG1" s="1317"/>
      <c r="HH1" s="1317"/>
      <c r="HI1" s="1317"/>
      <c r="HJ1" s="1317"/>
      <c r="HK1" s="1317"/>
      <c r="HL1" s="1317"/>
      <c r="HM1" s="1317"/>
      <c r="HN1" s="1317"/>
      <c r="HO1" s="1317"/>
      <c r="HP1" s="1317"/>
      <c r="HQ1" s="1317"/>
      <c r="HR1" s="1317"/>
      <c r="HS1" s="1317"/>
      <c r="HT1" s="1317"/>
      <c r="HU1" s="1317"/>
      <c r="HV1" s="1317"/>
      <c r="HW1" s="1317"/>
      <c r="HX1" s="1317"/>
      <c r="HY1" s="1317"/>
      <c r="HZ1" s="1317"/>
      <c r="IA1" s="1317"/>
      <c r="IB1" s="1317"/>
      <c r="IC1" s="1317"/>
      <c r="ID1" s="1317"/>
      <c r="IE1" s="1317"/>
      <c r="IF1" s="1317"/>
      <c r="IG1" s="1317"/>
      <c r="IH1" s="1317"/>
      <c r="II1" s="1317"/>
      <c r="IJ1" s="1317"/>
      <c r="IK1" s="1317"/>
      <c r="IL1" s="1317"/>
      <c r="IM1" s="1317"/>
      <c r="IN1" s="1317"/>
      <c r="IO1" s="1317"/>
      <c r="IP1" s="1317"/>
      <c r="IQ1" s="1317"/>
      <c r="IR1" s="1317"/>
      <c r="IS1" s="1317"/>
      <c r="IT1" s="1317"/>
      <c r="IU1" s="1317"/>
      <c r="IV1" s="1317"/>
    </row>
    <row r="2" spans="1:256" ht="48" customHeight="1" thickBot="1">
      <c r="A2" s="1358" t="s">
        <v>211</v>
      </c>
      <c r="B2" s="1359"/>
      <c r="C2" s="2046" t="s">
        <v>764</v>
      </c>
      <c r="D2" s="2046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317"/>
      <c r="Y2" s="1317"/>
      <c r="Z2" s="1317"/>
      <c r="AA2" s="1317"/>
      <c r="AB2" s="1317"/>
      <c r="AC2" s="1317"/>
      <c r="AD2" s="1317"/>
      <c r="AE2" s="1317"/>
      <c r="AF2" s="1317"/>
      <c r="AG2" s="1317"/>
      <c r="AH2" s="1317"/>
      <c r="AI2" s="1317"/>
      <c r="AJ2" s="1317"/>
      <c r="AK2" s="1317"/>
      <c r="AL2" s="1317"/>
      <c r="AM2" s="1317"/>
      <c r="AN2" s="1317"/>
      <c r="AO2" s="1317"/>
      <c r="AP2" s="1317"/>
      <c r="AQ2" s="1317"/>
      <c r="AR2" s="1317"/>
      <c r="AS2" s="1317"/>
      <c r="AT2" s="1317"/>
      <c r="AU2" s="1317"/>
      <c r="AV2" s="1317"/>
      <c r="AW2" s="1317"/>
      <c r="AX2" s="1317"/>
      <c r="AY2" s="1317"/>
      <c r="AZ2" s="1317"/>
      <c r="BA2" s="1317"/>
      <c r="BB2" s="1317"/>
      <c r="BC2" s="1317"/>
      <c r="BD2" s="1317"/>
      <c r="BE2" s="1317"/>
      <c r="BF2" s="1317"/>
      <c r="BG2" s="1317"/>
      <c r="BH2" s="1317"/>
      <c r="BI2" s="1317"/>
      <c r="BJ2" s="1317"/>
      <c r="BK2" s="1317"/>
      <c r="BL2" s="1317"/>
      <c r="BM2" s="1317"/>
      <c r="BN2" s="1317"/>
      <c r="BO2" s="1317"/>
      <c r="BP2" s="1317"/>
      <c r="BQ2" s="1317"/>
      <c r="BR2" s="1317"/>
      <c r="BS2" s="1317"/>
      <c r="BT2" s="1317"/>
      <c r="BU2" s="1317"/>
      <c r="BV2" s="1317"/>
      <c r="BW2" s="1317"/>
      <c r="BX2" s="1317"/>
      <c r="BY2" s="1317"/>
      <c r="BZ2" s="1317"/>
      <c r="CA2" s="1317"/>
      <c r="CB2" s="1317"/>
      <c r="CC2" s="1317"/>
      <c r="CD2" s="1317"/>
      <c r="CE2" s="1317"/>
      <c r="CF2" s="1317"/>
      <c r="CG2" s="1317"/>
      <c r="CH2" s="1317"/>
      <c r="CI2" s="1317"/>
      <c r="CJ2" s="1317"/>
      <c r="CK2" s="1317"/>
      <c r="CL2" s="1317"/>
      <c r="CM2" s="1317"/>
      <c r="CN2" s="1317"/>
      <c r="CO2" s="1317"/>
      <c r="CP2" s="1317"/>
      <c r="CQ2" s="1317"/>
      <c r="CR2" s="1317"/>
      <c r="CS2" s="1317"/>
      <c r="CT2" s="1317"/>
      <c r="CU2" s="1317"/>
      <c r="CV2" s="1317"/>
      <c r="CW2" s="1317"/>
      <c r="CX2" s="1317"/>
      <c r="CY2" s="1317"/>
      <c r="CZ2" s="1317"/>
      <c r="DA2" s="1317"/>
      <c r="DB2" s="1317"/>
      <c r="DC2" s="1317"/>
      <c r="DD2" s="1317"/>
      <c r="DE2" s="1317"/>
      <c r="DF2" s="1317"/>
      <c r="DG2" s="1317"/>
      <c r="DH2" s="1317"/>
      <c r="DI2" s="1317"/>
      <c r="DJ2" s="1317"/>
      <c r="DK2" s="1317"/>
      <c r="DL2" s="1317"/>
      <c r="DM2" s="1317"/>
      <c r="DN2" s="1317"/>
      <c r="DO2" s="1317"/>
      <c r="DP2" s="1317"/>
      <c r="DQ2" s="1317"/>
      <c r="DR2" s="1317"/>
      <c r="DS2" s="1317"/>
      <c r="DT2" s="1317"/>
      <c r="DU2" s="1317"/>
      <c r="DV2" s="1317"/>
      <c r="DW2" s="1317"/>
      <c r="DX2" s="1317"/>
      <c r="DY2" s="1317"/>
      <c r="DZ2" s="1317"/>
      <c r="EA2" s="1317"/>
      <c r="EB2" s="1317"/>
      <c r="EC2" s="1317"/>
      <c r="ED2" s="1317"/>
      <c r="EE2" s="1317"/>
      <c r="EF2" s="1317"/>
      <c r="EG2" s="1317"/>
      <c r="EH2" s="1317"/>
      <c r="EI2" s="1317"/>
      <c r="EJ2" s="1317"/>
      <c r="EK2" s="1317"/>
      <c r="EL2" s="1317"/>
      <c r="EM2" s="1317"/>
      <c r="EN2" s="1317"/>
      <c r="EO2" s="1317"/>
      <c r="EP2" s="1317"/>
      <c r="EQ2" s="1317"/>
      <c r="ER2" s="1317"/>
      <c r="ES2" s="1317"/>
      <c r="ET2" s="1317"/>
      <c r="EU2" s="1317"/>
      <c r="EV2" s="1317"/>
      <c r="EW2" s="1317"/>
      <c r="EX2" s="1317"/>
      <c r="EY2" s="1317"/>
      <c r="EZ2" s="1317"/>
      <c r="FA2" s="1317"/>
      <c r="FB2" s="1317"/>
      <c r="FC2" s="1317"/>
      <c r="FD2" s="1317"/>
      <c r="FE2" s="1317"/>
      <c r="FF2" s="1317"/>
      <c r="FG2" s="1317"/>
      <c r="FH2" s="1317"/>
      <c r="FI2" s="1317"/>
      <c r="FJ2" s="1317"/>
      <c r="FK2" s="1317"/>
      <c r="FL2" s="1317"/>
      <c r="FM2" s="1317"/>
      <c r="FN2" s="1317"/>
      <c r="FO2" s="1317"/>
      <c r="FP2" s="1317"/>
      <c r="FQ2" s="1317"/>
      <c r="FR2" s="1317"/>
      <c r="FS2" s="1317"/>
      <c r="FT2" s="1317"/>
      <c r="FU2" s="1317"/>
      <c r="FV2" s="1317"/>
      <c r="FW2" s="1317"/>
      <c r="FX2" s="1317"/>
      <c r="FY2" s="1317"/>
      <c r="FZ2" s="1317"/>
      <c r="GA2" s="1317"/>
      <c r="GB2" s="1317"/>
      <c r="GC2" s="1317"/>
      <c r="GD2" s="1317"/>
      <c r="GE2" s="1317"/>
      <c r="GF2" s="1317"/>
      <c r="GG2" s="1317"/>
      <c r="GH2" s="1317"/>
      <c r="GI2" s="1317"/>
      <c r="GJ2" s="1317"/>
      <c r="GK2" s="1317"/>
      <c r="GL2" s="1317"/>
      <c r="GM2" s="1317"/>
      <c r="GN2" s="1317"/>
      <c r="GO2" s="1317"/>
      <c r="GP2" s="1317"/>
      <c r="GQ2" s="1317"/>
      <c r="GR2" s="1317"/>
      <c r="GS2" s="1317"/>
      <c r="GT2" s="1317"/>
      <c r="GU2" s="1317"/>
      <c r="GV2" s="1317"/>
      <c r="GW2" s="1317"/>
      <c r="GX2" s="1317"/>
      <c r="GY2" s="1317"/>
      <c r="GZ2" s="1317"/>
      <c r="HA2" s="1317"/>
      <c r="HB2" s="1317"/>
      <c r="HC2" s="1317"/>
      <c r="HD2" s="1317"/>
      <c r="HE2" s="1317"/>
      <c r="HF2" s="1317"/>
      <c r="HG2" s="1317"/>
      <c r="HH2" s="1317"/>
      <c r="HI2" s="1317"/>
      <c r="HJ2" s="1317"/>
      <c r="HK2" s="1317"/>
      <c r="HL2" s="1317"/>
      <c r="HM2" s="1317"/>
      <c r="HN2" s="1317"/>
      <c r="HO2" s="1317"/>
      <c r="HP2" s="1317"/>
      <c r="HQ2" s="1317"/>
      <c r="HR2" s="1317"/>
      <c r="HS2" s="1317"/>
      <c r="HT2" s="1317"/>
      <c r="HU2" s="1317"/>
      <c r="HV2" s="1317"/>
      <c r="HW2" s="1317"/>
      <c r="HX2" s="1317"/>
      <c r="HY2" s="1317"/>
      <c r="HZ2" s="1317"/>
      <c r="IA2" s="1317"/>
      <c r="IB2" s="1317"/>
      <c r="IC2" s="1317"/>
      <c r="ID2" s="1317"/>
      <c r="IE2" s="1317"/>
      <c r="IF2" s="1317"/>
      <c r="IG2" s="1317"/>
      <c r="IH2" s="1317"/>
      <c r="II2" s="1317"/>
      <c r="IJ2" s="1317"/>
      <c r="IK2" s="1317"/>
      <c r="IL2" s="1317"/>
      <c r="IM2" s="1317"/>
      <c r="IN2" s="1317"/>
      <c r="IO2" s="1317"/>
      <c r="IP2" s="1317"/>
      <c r="IQ2" s="1317"/>
      <c r="IR2" s="1317"/>
      <c r="IS2" s="1317"/>
      <c r="IT2" s="1317"/>
      <c r="IU2" s="1317"/>
      <c r="IV2" s="1317"/>
    </row>
    <row r="3" spans="1:256" ht="48" customHeight="1" thickBot="1">
      <c r="A3" s="2047" t="s">
        <v>765</v>
      </c>
      <c r="B3" s="2048" t="s">
        <v>5</v>
      </c>
      <c r="C3" s="2049" t="s">
        <v>766</v>
      </c>
      <c r="D3" s="2049" t="s">
        <v>767</v>
      </c>
      <c r="E3" s="1317"/>
      <c r="F3" s="1317"/>
      <c r="G3" s="1317"/>
      <c r="H3" s="1317"/>
      <c r="I3" s="1317"/>
      <c r="J3" s="1317"/>
      <c r="K3" s="1317"/>
      <c r="L3" s="1317"/>
      <c r="M3" s="1317"/>
      <c r="N3" s="1317"/>
      <c r="O3" s="1317"/>
      <c r="P3" s="1317"/>
      <c r="Q3" s="1317"/>
      <c r="R3" s="1317"/>
      <c r="S3" s="1317"/>
      <c r="T3" s="1317"/>
      <c r="U3" s="1317"/>
      <c r="V3" s="1317"/>
      <c r="W3" s="1317"/>
      <c r="X3" s="1317"/>
      <c r="Y3" s="1317"/>
      <c r="Z3" s="1317"/>
      <c r="AA3" s="1317"/>
      <c r="AB3" s="1317"/>
      <c r="AC3" s="1317"/>
      <c r="AD3" s="1317"/>
      <c r="AE3" s="1317"/>
      <c r="AF3" s="1317"/>
      <c r="AG3" s="1317"/>
      <c r="AH3" s="1317"/>
      <c r="AI3" s="1317"/>
      <c r="AJ3" s="1317"/>
      <c r="AK3" s="1317"/>
      <c r="AL3" s="1317"/>
      <c r="AM3" s="1317"/>
      <c r="AN3" s="1317"/>
      <c r="AO3" s="1317"/>
      <c r="AP3" s="1317"/>
      <c r="AQ3" s="1317"/>
      <c r="AR3" s="1317"/>
      <c r="AS3" s="1317"/>
      <c r="AT3" s="1317"/>
      <c r="AU3" s="1317"/>
      <c r="AV3" s="1317"/>
      <c r="AW3" s="1317"/>
      <c r="AX3" s="1317"/>
      <c r="AY3" s="1317"/>
      <c r="AZ3" s="1317"/>
      <c r="BA3" s="1317"/>
      <c r="BB3" s="1317"/>
      <c r="BC3" s="1317"/>
      <c r="BD3" s="1317"/>
      <c r="BE3" s="1317"/>
      <c r="BF3" s="1317"/>
      <c r="BG3" s="1317"/>
      <c r="BH3" s="1317"/>
      <c r="BI3" s="1317"/>
      <c r="BJ3" s="1317"/>
      <c r="BK3" s="1317"/>
      <c r="BL3" s="1317"/>
      <c r="BM3" s="1317"/>
      <c r="BN3" s="1317"/>
      <c r="BO3" s="1317"/>
      <c r="BP3" s="1317"/>
      <c r="BQ3" s="1317"/>
      <c r="BR3" s="1317"/>
      <c r="BS3" s="1317"/>
      <c r="BT3" s="1317"/>
      <c r="BU3" s="1317"/>
      <c r="BV3" s="1317"/>
      <c r="BW3" s="1317"/>
      <c r="BX3" s="1317"/>
      <c r="BY3" s="1317"/>
      <c r="BZ3" s="1317"/>
      <c r="CA3" s="1317"/>
      <c r="CB3" s="1317"/>
      <c r="CC3" s="1317"/>
      <c r="CD3" s="1317"/>
      <c r="CE3" s="1317"/>
      <c r="CF3" s="1317"/>
      <c r="CG3" s="1317"/>
      <c r="CH3" s="1317"/>
      <c r="CI3" s="1317"/>
      <c r="CJ3" s="1317"/>
      <c r="CK3" s="1317"/>
      <c r="CL3" s="1317"/>
      <c r="CM3" s="1317"/>
      <c r="CN3" s="1317"/>
      <c r="CO3" s="1317"/>
      <c r="CP3" s="1317"/>
      <c r="CQ3" s="1317"/>
      <c r="CR3" s="1317"/>
      <c r="CS3" s="1317"/>
      <c r="CT3" s="1317"/>
      <c r="CU3" s="1317"/>
      <c r="CV3" s="1317"/>
      <c r="CW3" s="1317"/>
      <c r="CX3" s="1317"/>
      <c r="CY3" s="1317"/>
      <c r="CZ3" s="1317"/>
      <c r="DA3" s="1317"/>
      <c r="DB3" s="1317"/>
      <c r="DC3" s="1317"/>
      <c r="DD3" s="1317"/>
      <c r="DE3" s="1317"/>
      <c r="DF3" s="1317"/>
      <c r="DG3" s="1317"/>
      <c r="DH3" s="1317"/>
      <c r="DI3" s="1317"/>
      <c r="DJ3" s="1317"/>
      <c r="DK3" s="1317"/>
      <c r="DL3" s="1317"/>
      <c r="DM3" s="1317"/>
      <c r="DN3" s="1317"/>
      <c r="DO3" s="1317"/>
      <c r="DP3" s="1317"/>
      <c r="DQ3" s="1317"/>
      <c r="DR3" s="1317"/>
      <c r="DS3" s="1317"/>
      <c r="DT3" s="1317"/>
      <c r="DU3" s="1317"/>
      <c r="DV3" s="1317"/>
      <c r="DW3" s="1317"/>
      <c r="DX3" s="1317"/>
      <c r="DY3" s="1317"/>
      <c r="DZ3" s="1317"/>
      <c r="EA3" s="1317"/>
      <c r="EB3" s="1317"/>
      <c r="EC3" s="1317"/>
      <c r="ED3" s="1317"/>
      <c r="EE3" s="1317"/>
      <c r="EF3" s="1317"/>
      <c r="EG3" s="1317"/>
      <c r="EH3" s="1317"/>
      <c r="EI3" s="1317"/>
      <c r="EJ3" s="1317"/>
      <c r="EK3" s="1317"/>
      <c r="EL3" s="1317"/>
      <c r="EM3" s="1317"/>
      <c r="EN3" s="1317"/>
      <c r="EO3" s="1317"/>
      <c r="EP3" s="1317"/>
      <c r="EQ3" s="1317"/>
      <c r="ER3" s="1317"/>
      <c r="ES3" s="1317"/>
      <c r="ET3" s="1317"/>
      <c r="EU3" s="1317"/>
      <c r="EV3" s="1317"/>
      <c r="EW3" s="1317"/>
      <c r="EX3" s="1317"/>
      <c r="EY3" s="1317"/>
      <c r="EZ3" s="1317"/>
      <c r="FA3" s="1317"/>
      <c r="FB3" s="1317"/>
      <c r="FC3" s="1317"/>
      <c r="FD3" s="1317"/>
      <c r="FE3" s="1317"/>
      <c r="FF3" s="1317"/>
      <c r="FG3" s="1317"/>
      <c r="FH3" s="1317"/>
      <c r="FI3" s="1317"/>
      <c r="FJ3" s="1317"/>
      <c r="FK3" s="1317"/>
      <c r="FL3" s="1317"/>
      <c r="FM3" s="1317"/>
      <c r="FN3" s="1317"/>
      <c r="FO3" s="1317"/>
      <c r="FP3" s="1317"/>
      <c r="FQ3" s="1317"/>
      <c r="FR3" s="1317"/>
      <c r="FS3" s="1317"/>
      <c r="FT3" s="1317"/>
      <c r="FU3" s="1317"/>
      <c r="FV3" s="1317"/>
      <c r="FW3" s="1317"/>
      <c r="FX3" s="1317"/>
      <c r="FY3" s="1317"/>
      <c r="FZ3" s="1317"/>
      <c r="GA3" s="1317"/>
      <c r="GB3" s="1317"/>
      <c r="GC3" s="1317"/>
      <c r="GD3" s="1317"/>
      <c r="GE3" s="1317"/>
      <c r="GF3" s="1317"/>
      <c r="GG3" s="1317"/>
      <c r="GH3" s="1317"/>
      <c r="GI3" s="1317"/>
      <c r="GJ3" s="1317"/>
      <c r="GK3" s="1317"/>
      <c r="GL3" s="1317"/>
      <c r="GM3" s="1317"/>
      <c r="GN3" s="1317"/>
      <c r="GO3" s="1317"/>
      <c r="GP3" s="1317"/>
      <c r="GQ3" s="1317"/>
      <c r="GR3" s="1317"/>
      <c r="GS3" s="1317"/>
      <c r="GT3" s="1317"/>
      <c r="GU3" s="1317"/>
      <c r="GV3" s="1317"/>
      <c r="GW3" s="1317"/>
      <c r="GX3" s="1317"/>
      <c r="GY3" s="1317"/>
      <c r="GZ3" s="1317"/>
      <c r="HA3" s="1317"/>
      <c r="HB3" s="1317"/>
      <c r="HC3" s="1317"/>
      <c r="HD3" s="1317"/>
      <c r="HE3" s="1317"/>
      <c r="HF3" s="1317"/>
      <c r="HG3" s="1317"/>
      <c r="HH3" s="1317"/>
      <c r="HI3" s="1317"/>
      <c r="HJ3" s="1317"/>
      <c r="HK3" s="1317"/>
      <c r="HL3" s="1317"/>
      <c r="HM3" s="1317"/>
      <c r="HN3" s="1317"/>
      <c r="HO3" s="1317"/>
      <c r="HP3" s="1317"/>
      <c r="HQ3" s="1317"/>
      <c r="HR3" s="1317"/>
      <c r="HS3" s="1317"/>
      <c r="HT3" s="1317"/>
      <c r="HU3" s="1317"/>
      <c r="HV3" s="1317"/>
      <c r="HW3" s="1317"/>
      <c r="HX3" s="1317"/>
      <c r="HY3" s="1317"/>
      <c r="HZ3" s="1317"/>
      <c r="IA3" s="1317"/>
      <c r="IB3" s="1317"/>
      <c r="IC3" s="1317"/>
      <c r="ID3" s="1317"/>
      <c r="IE3" s="1317"/>
      <c r="IF3" s="1317"/>
      <c r="IG3" s="1317"/>
      <c r="IH3" s="1317"/>
      <c r="II3" s="1317"/>
      <c r="IJ3" s="1317"/>
      <c r="IK3" s="1317"/>
      <c r="IL3" s="1317"/>
      <c r="IM3" s="1317"/>
      <c r="IN3" s="1317"/>
      <c r="IO3" s="1317"/>
      <c r="IP3" s="1317"/>
      <c r="IQ3" s="1317"/>
      <c r="IR3" s="1317"/>
      <c r="IS3" s="1317"/>
      <c r="IT3" s="1317"/>
      <c r="IU3" s="1317"/>
      <c r="IV3" s="1317"/>
    </row>
    <row r="4" spans="1:256" ht="48" customHeight="1" thickBot="1">
      <c r="A4" s="2047"/>
      <c r="B4" s="2048"/>
      <c r="C4" s="2049"/>
      <c r="D4" s="2049"/>
      <c r="E4" s="1317"/>
      <c r="F4" s="1317"/>
      <c r="G4" s="1317"/>
      <c r="H4" s="1317"/>
      <c r="I4" s="1317"/>
      <c r="J4" s="1317"/>
      <c r="K4" s="1317"/>
      <c r="L4" s="1317"/>
      <c r="M4" s="1317"/>
      <c r="N4" s="1317"/>
      <c r="O4" s="1317"/>
      <c r="P4" s="1317"/>
      <c r="Q4" s="1317"/>
      <c r="R4" s="1317"/>
      <c r="S4" s="1317"/>
      <c r="T4" s="1317"/>
      <c r="U4" s="1317"/>
      <c r="V4" s="1317"/>
      <c r="W4" s="1317"/>
      <c r="X4" s="1317"/>
      <c r="Y4" s="1317"/>
      <c r="Z4" s="1317"/>
      <c r="AA4" s="1317"/>
      <c r="AB4" s="1317"/>
      <c r="AC4" s="1317"/>
      <c r="AD4" s="1317"/>
      <c r="AE4" s="1317"/>
      <c r="AF4" s="1317"/>
      <c r="AG4" s="1317"/>
      <c r="AH4" s="1317"/>
      <c r="AI4" s="1317"/>
      <c r="AJ4" s="1317"/>
      <c r="AK4" s="1317"/>
      <c r="AL4" s="1317"/>
      <c r="AM4" s="1317"/>
      <c r="AN4" s="1317"/>
      <c r="AO4" s="1317"/>
      <c r="AP4" s="1317"/>
      <c r="AQ4" s="1317"/>
      <c r="AR4" s="1317"/>
      <c r="AS4" s="1317"/>
      <c r="AT4" s="1317"/>
      <c r="AU4" s="1317"/>
      <c r="AV4" s="1317"/>
      <c r="AW4" s="1317"/>
      <c r="AX4" s="1317"/>
      <c r="AY4" s="1317"/>
      <c r="AZ4" s="1317"/>
      <c r="BA4" s="1317"/>
      <c r="BB4" s="1317"/>
      <c r="BC4" s="1317"/>
      <c r="BD4" s="1317"/>
      <c r="BE4" s="1317"/>
      <c r="BF4" s="1317"/>
      <c r="BG4" s="1317"/>
      <c r="BH4" s="1317"/>
      <c r="BI4" s="1317"/>
      <c r="BJ4" s="1317"/>
      <c r="BK4" s="1317"/>
      <c r="BL4" s="1317"/>
      <c r="BM4" s="1317"/>
      <c r="BN4" s="1317"/>
      <c r="BO4" s="1317"/>
      <c r="BP4" s="1317"/>
      <c r="BQ4" s="1317"/>
      <c r="BR4" s="1317"/>
      <c r="BS4" s="1317"/>
      <c r="BT4" s="1317"/>
      <c r="BU4" s="1317"/>
      <c r="BV4" s="1317"/>
      <c r="BW4" s="1317"/>
      <c r="BX4" s="1317"/>
      <c r="BY4" s="1317"/>
      <c r="BZ4" s="1317"/>
      <c r="CA4" s="1317"/>
      <c r="CB4" s="1317"/>
      <c r="CC4" s="1317"/>
      <c r="CD4" s="1317"/>
      <c r="CE4" s="1317"/>
      <c r="CF4" s="1317"/>
      <c r="CG4" s="1317"/>
      <c r="CH4" s="1317"/>
      <c r="CI4" s="1317"/>
      <c r="CJ4" s="1317"/>
      <c r="CK4" s="1317"/>
      <c r="CL4" s="1317"/>
      <c r="CM4" s="1317"/>
      <c r="CN4" s="1317"/>
      <c r="CO4" s="1317"/>
      <c r="CP4" s="1317"/>
      <c r="CQ4" s="1317"/>
      <c r="CR4" s="1317"/>
      <c r="CS4" s="1317"/>
      <c r="CT4" s="1317"/>
      <c r="CU4" s="1317"/>
      <c r="CV4" s="1317"/>
      <c r="CW4" s="1317"/>
      <c r="CX4" s="1317"/>
      <c r="CY4" s="1317"/>
      <c r="CZ4" s="1317"/>
      <c r="DA4" s="1317"/>
      <c r="DB4" s="1317"/>
      <c r="DC4" s="1317"/>
      <c r="DD4" s="1317"/>
      <c r="DE4" s="1317"/>
      <c r="DF4" s="1317"/>
      <c r="DG4" s="1317"/>
      <c r="DH4" s="1317"/>
      <c r="DI4" s="1317"/>
      <c r="DJ4" s="1317"/>
      <c r="DK4" s="1317"/>
      <c r="DL4" s="1317"/>
      <c r="DM4" s="1317"/>
      <c r="DN4" s="1317"/>
      <c r="DO4" s="1317"/>
      <c r="DP4" s="1317"/>
      <c r="DQ4" s="1317"/>
      <c r="DR4" s="1317"/>
      <c r="DS4" s="1317"/>
      <c r="DT4" s="1317"/>
      <c r="DU4" s="1317"/>
      <c r="DV4" s="1317"/>
      <c r="DW4" s="1317"/>
      <c r="DX4" s="1317"/>
      <c r="DY4" s="1317"/>
      <c r="DZ4" s="1317"/>
      <c r="EA4" s="1317"/>
      <c r="EB4" s="1317"/>
      <c r="EC4" s="1317"/>
      <c r="ED4" s="1317"/>
      <c r="EE4" s="1317"/>
      <c r="EF4" s="1317"/>
      <c r="EG4" s="1317"/>
      <c r="EH4" s="1317"/>
      <c r="EI4" s="1317"/>
      <c r="EJ4" s="1317"/>
      <c r="EK4" s="1317"/>
      <c r="EL4" s="1317"/>
      <c r="EM4" s="1317"/>
      <c r="EN4" s="1317"/>
      <c r="EO4" s="1317"/>
      <c r="EP4" s="1317"/>
      <c r="EQ4" s="1317"/>
      <c r="ER4" s="1317"/>
      <c r="ES4" s="1317"/>
      <c r="ET4" s="1317"/>
      <c r="EU4" s="1317"/>
      <c r="EV4" s="1317"/>
      <c r="EW4" s="1317"/>
      <c r="EX4" s="1317"/>
      <c r="EY4" s="1317"/>
      <c r="EZ4" s="1317"/>
      <c r="FA4" s="1317"/>
      <c r="FB4" s="1317"/>
      <c r="FC4" s="1317"/>
      <c r="FD4" s="1317"/>
      <c r="FE4" s="1317"/>
      <c r="FF4" s="1317"/>
      <c r="FG4" s="1317"/>
      <c r="FH4" s="1317"/>
      <c r="FI4" s="1317"/>
      <c r="FJ4" s="1317"/>
      <c r="FK4" s="1317"/>
      <c r="FL4" s="1317"/>
      <c r="FM4" s="1317"/>
      <c r="FN4" s="1317"/>
      <c r="FO4" s="1317"/>
      <c r="FP4" s="1317"/>
      <c r="FQ4" s="1317"/>
      <c r="FR4" s="1317"/>
      <c r="FS4" s="1317"/>
      <c r="FT4" s="1317"/>
      <c r="FU4" s="1317"/>
      <c r="FV4" s="1317"/>
      <c r="FW4" s="1317"/>
      <c r="FX4" s="1317"/>
      <c r="FY4" s="1317"/>
      <c r="FZ4" s="1317"/>
      <c r="GA4" s="1317"/>
      <c r="GB4" s="1317"/>
      <c r="GC4" s="1317"/>
      <c r="GD4" s="1317"/>
      <c r="GE4" s="1317"/>
      <c r="GF4" s="1317"/>
      <c r="GG4" s="1317"/>
      <c r="GH4" s="1317"/>
      <c r="GI4" s="1317"/>
      <c r="GJ4" s="1317"/>
      <c r="GK4" s="1317"/>
      <c r="GL4" s="1317"/>
      <c r="GM4" s="1317"/>
      <c r="GN4" s="1317"/>
      <c r="GO4" s="1317"/>
      <c r="GP4" s="1317"/>
      <c r="GQ4" s="1317"/>
      <c r="GR4" s="1317"/>
      <c r="GS4" s="1317"/>
      <c r="GT4" s="1317"/>
      <c r="GU4" s="1317"/>
      <c r="GV4" s="1317"/>
      <c r="GW4" s="1317"/>
      <c r="GX4" s="1317"/>
      <c r="GY4" s="1317"/>
      <c r="GZ4" s="1317"/>
      <c r="HA4" s="1317"/>
      <c r="HB4" s="1317"/>
      <c r="HC4" s="1317"/>
      <c r="HD4" s="1317"/>
      <c r="HE4" s="1317"/>
      <c r="HF4" s="1317"/>
      <c r="HG4" s="1317"/>
      <c r="HH4" s="1317"/>
      <c r="HI4" s="1317"/>
      <c r="HJ4" s="1317"/>
      <c r="HK4" s="1317"/>
      <c r="HL4" s="1317"/>
      <c r="HM4" s="1317"/>
      <c r="HN4" s="1317"/>
      <c r="HO4" s="1317"/>
      <c r="HP4" s="1317"/>
      <c r="HQ4" s="1317"/>
      <c r="HR4" s="1317"/>
      <c r="HS4" s="1317"/>
      <c r="HT4" s="1317"/>
      <c r="HU4" s="1317"/>
      <c r="HV4" s="1317"/>
      <c r="HW4" s="1317"/>
      <c r="HX4" s="1317"/>
      <c r="HY4" s="1317"/>
      <c r="HZ4" s="1317"/>
      <c r="IA4" s="1317"/>
      <c r="IB4" s="1317"/>
      <c r="IC4" s="1317"/>
      <c r="ID4" s="1317"/>
      <c r="IE4" s="1317"/>
      <c r="IF4" s="1317"/>
      <c r="IG4" s="1317"/>
      <c r="IH4" s="1317"/>
      <c r="II4" s="1317"/>
      <c r="IJ4" s="1317"/>
      <c r="IK4" s="1317"/>
      <c r="IL4" s="1317"/>
      <c r="IM4" s="1317"/>
      <c r="IN4" s="1317"/>
      <c r="IO4" s="1317"/>
      <c r="IP4" s="1317"/>
      <c r="IQ4" s="1317"/>
      <c r="IR4" s="1317"/>
      <c r="IS4" s="1317"/>
      <c r="IT4" s="1317"/>
      <c r="IU4" s="1317"/>
      <c r="IV4" s="1317"/>
    </row>
    <row r="5" spans="1:256" ht="48" customHeight="1">
      <c r="A5" s="2047"/>
      <c r="B5" s="2048"/>
      <c r="C5" s="2050" t="s">
        <v>768</v>
      </c>
      <c r="D5" s="2050"/>
      <c r="E5" s="1317"/>
      <c r="F5" s="1317"/>
      <c r="G5" s="1317"/>
      <c r="H5" s="1317"/>
      <c r="I5" s="1317"/>
      <c r="J5" s="1317"/>
      <c r="K5" s="1317"/>
      <c r="L5" s="1317"/>
      <c r="M5" s="1317"/>
      <c r="N5" s="1317"/>
      <c r="O5" s="1317"/>
      <c r="P5" s="1317"/>
      <c r="Q5" s="1317"/>
      <c r="R5" s="1317"/>
      <c r="S5" s="1317"/>
      <c r="T5" s="1317"/>
      <c r="U5" s="1317"/>
      <c r="V5" s="1317"/>
      <c r="W5" s="1317"/>
      <c r="X5" s="1317"/>
      <c r="Y5" s="1317"/>
      <c r="Z5" s="1317"/>
      <c r="AA5" s="1317"/>
      <c r="AB5" s="1317"/>
      <c r="AC5" s="1317"/>
      <c r="AD5" s="1317"/>
      <c r="AE5" s="1317"/>
      <c r="AF5" s="1317"/>
      <c r="AG5" s="1317"/>
      <c r="AH5" s="1317"/>
      <c r="AI5" s="1317"/>
      <c r="AJ5" s="1317"/>
      <c r="AK5" s="1317"/>
      <c r="AL5" s="1317"/>
      <c r="AM5" s="1317"/>
      <c r="AN5" s="1317"/>
      <c r="AO5" s="1317"/>
      <c r="AP5" s="1317"/>
      <c r="AQ5" s="1317"/>
      <c r="AR5" s="1317"/>
      <c r="AS5" s="1317"/>
      <c r="AT5" s="1317"/>
      <c r="AU5" s="1317"/>
      <c r="AV5" s="1317"/>
      <c r="AW5" s="1317"/>
      <c r="AX5" s="1317"/>
      <c r="AY5" s="1317"/>
      <c r="AZ5" s="1317"/>
      <c r="BA5" s="1317"/>
      <c r="BB5" s="1317"/>
      <c r="BC5" s="1317"/>
      <c r="BD5" s="1317"/>
      <c r="BE5" s="1317"/>
      <c r="BF5" s="1317"/>
      <c r="BG5" s="1317"/>
      <c r="BH5" s="1317"/>
      <c r="BI5" s="1317"/>
      <c r="BJ5" s="1317"/>
      <c r="BK5" s="1317"/>
      <c r="BL5" s="1317"/>
      <c r="BM5" s="1317"/>
      <c r="BN5" s="1317"/>
      <c r="BO5" s="1317"/>
      <c r="BP5" s="1317"/>
      <c r="BQ5" s="1317"/>
      <c r="BR5" s="1317"/>
      <c r="BS5" s="1317"/>
      <c r="BT5" s="1317"/>
      <c r="BU5" s="1317"/>
      <c r="BV5" s="1317"/>
      <c r="BW5" s="1317"/>
      <c r="BX5" s="1317"/>
      <c r="BY5" s="1317"/>
      <c r="BZ5" s="1317"/>
      <c r="CA5" s="1317"/>
      <c r="CB5" s="1317"/>
      <c r="CC5" s="1317"/>
      <c r="CD5" s="1317"/>
      <c r="CE5" s="1317"/>
      <c r="CF5" s="1317"/>
      <c r="CG5" s="1317"/>
      <c r="CH5" s="1317"/>
      <c r="CI5" s="1317"/>
      <c r="CJ5" s="1317"/>
      <c r="CK5" s="1317"/>
      <c r="CL5" s="1317"/>
      <c r="CM5" s="1317"/>
      <c r="CN5" s="1317"/>
      <c r="CO5" s="1317"/>
      <c r="CP5" s="1317"/>
      <c r="CQ5" s="1317"/>
      <c r="CR5" s="1317"/>
      <c r="CS5" s="1317"/>
      <c r="CT5" s="1317"/>
      <c r="CU5" s="1317"/>
      <c r="CV5" s="1317"/>
      <c r="CW5" s="1317"/>
      <c r="CX5" s="1317"/>
      <c r="CY5" s="1317"/>
      <c r="CZ5" s="1317"/>
      <c r="DA5" s="1317"/>
      <c r="DB5" s="1317"/>
      <c r="DC5" s="1317"/>
      <c r="DD5" s="1317"/>
      <c r="DE5" s="1317"/>
      <c r="DF5" s="1317"/>
      <c r="DG5" s="1317"/>
      <c r="DH5" s="1317"/>
      <c r="DI5" s="1317"/>
      <c r="DJ5" s="1317"/>
      <c r="DK5" s="1317"/>
      <c r="DL5" s="1317"/>
      <c r="DM5" s="1317"/>
      <c r="DN5" s="1317"/>
      <c r="DO5" s="1317"/>
      <c r="DP5" s="1317"/>
      <c r="DQ5" s="1317"/>
      <c r="DR5" s="1317"/>
      <c r="DS5" s="1317"/>
      <c r="DT5" s="1317"/>
      <c r="DU5" s="1317"/>
      <c r="DV5" s="1317"/>
      <c r="DW5" s="1317"/>
      <c r="DX5" s="1317"/>
      <c r="DY5" s="1317"/>
      <c r="DZ5" s="1317"/>
      <c r="EA5" s="1317"/>
      <c r="EB5" s="1317"/>
      <c r="EC5" s="1317"/>
      <c r="ED5" s="1317"/>
      <c r="EE5" s="1317"/>
      <c r="EF5" s="1317"/>
      <c r="EG5" s="1317"/>
      <c r="EH5" s="1317"/>
      <c r="EI5" s="1317"/>
      <c r="EJ5" s="1317"/>
      <c r="EK5" s="1317"/>
      <c r="EL5" s="1317"/>
      <c r="EM5" s="1317"/>
      <c r="EN5" s="1317"/>
      <c r="EO5" s="1317"/>
      <c r="EP5" s="1317"/>
      <c r="EQ5" s="1317"/>
      <c r="ER5" s="1317"/>
      <c r="ES5" s="1317"/>
      <c r="ET5" s="1317"/>
      <c r="EU5" s="1317"/>
      <c r="EV5" s="1317"/>
      <c r="EW5" s="1317"/>
      <c r="EX5" s="1317"/>
      <c r="EY5" s="1317"/>
      <c r="EZ5" s="1317"/>
      <c r="FA5" s="1317"/>
      <c r="FB5" s="1317"/>
      <c r="FC5" s="1317"/>
      <c r="FD5" s="1317"/>
      <c r="FE5" s="1317"/>
      <c r="FF5" s="1317"/>
      <c r="FG5" s="1317"/>
      <c r="FH5" s="1317"/>
      <c r="FI5" s="1317"/>
      <c r="FJ5" s="1317"/>
      <c r="FK5" s="1317"/>
      <c r="FL5" s="1317"/>
      <c r="FM5" s="1317"/>
      <c r="FN5" s="1317"/>
      <c r="FO5" s="1317"/>
      <c r="FP5" s="1317"/>
      <c r="FQ5" s="1317"/>
      <c r="FR5" s="1317"/>
      <c r="FS5" s="1317"/>
      <c r="FT5" s="1317"/>
      <c r="FU5" s="1317"/>
      <c r="FV5" s="1317"/>
      <c r="FW5" s="1317"/>
      <c r="FX5" s="1317"/>
      <c r="FY5" s="1317"/>
      <c r="FZ5" s="1317"/>
      <c r="GA5" s="1317"/>
      <c r="GB5" s="1317"/>
      <c r="GC5" s="1317"/>
      <c r="GD5" s="1317"/>
      <c r="GE5" s="1317"/>
      <c r="GF5" s="1317"/>
      <c r="GG5" s="1317"/>
      <c r="GH5" s="1317"/>
      <c r="GI5" s="1317"/>
      <c r="GJ5" s="1317"/>
      <c r="GK5" s="1317"/>
      <c r="GL5" s="1317"/>
      <c r="GM5" s="1317"/>
      <c r="GN5" s="1317"/>
      <c r="GO5" s="1317"/>
      <c r="GP5" s="1317"/>
      <c r="GQ5" s="1317"/>
      <c r="GR5" s="1317"/>
      <c r="GS5" s="1317"/>
      <c r="GT5" s="1317"/>
      <c r="GU5" s="1317"/>
      <c r="GV5" s="1317"/>
      <c r="GW5" s="1317"/>
      <c r="GX5" s="1317"/>
      <c r="GY5" s="1317"/>
      <c r="GZ5" s="1317"/>
      <c r="HA5" s="1317"/>
      <c r="HB5" s="1317"/>
      <c r="HC5" s="1317"/>
      <c r="HD5" s="1317"/>
      <c r="HE5" s="1317"/>
      <c r="HF5" s="1317"/>
      <c r="HG5" s="1317"/>
      <c r="HH5" s="1317"/>
      <c r="HI5" s="1317"/>
      <c r="HJ5" s="1317"/>
      <c r="HK5" s="1317"/>
      <c r="HL5" s="1317"/>
      <c r="HM5" s="1317"/>
      <c r="HN5" s="1317"/>
      <c r="HO5" s="1317"/>
      <c r="HP5" s="1317"/>
      <c r="HQ5" s="1317"/>
      <c r="HR5" s="1317"/>
      <c r="HS5" s="1317"/>
      <c r="HT5" s="1317"/>
      <c r="HU5" s="1317"/>
      <c r="HV5" s="1317"/>
      <c r="HW5" s="1317"/>
      <c r="HX5" s="1317"/>
      <c r="HY5" s="1317"/>
      <c r="HZ5" s="1317"/>
      <c r="IA5" s="1317"/>
      <c r="IB5" s="1317"/>
      <c r="IC5" s="1317"/>
      <c r="ID5" s="1317"/>
      <c r="IE5" s="1317"/>
      <c r="IF5" s="1317"/>
      <c r="IG5" s="1317"/>
      <c r="IH5" s="1317"/>
      <c r="II5" s="1317"/>
      <c r="IJ5" s="1317"/>
      <c r="IK5" s="1317"/>
      <c r="IL5" s="1317"/>
      <c r="IM5" s="1317"/>
      <c r="IN5" s="1317"/>
      <c r="IO5" s="1317"/>
      <c r="IP5" s="1317"/>
      <c r="IQ5" s="1317"/>
      <c r="IR5" s="1317"/>
      <c r="IS5" s="1317"/>
      <c r="IT5" s="1317"/>
      <c r="IU5" s="1317"/>
      <c r="IV5" s="1317"/>
    </row>
    <row r="6" spans="1:256" ht="48" customHeight="1" thickBot="1">
      <c r="A6" s="1360" t="s">
        <v>769</v>
      </c>
      <c r="B6" s="1361" t="s">
        <v>14</v>
      </c>
      <c r="C6" s="1361" t="s">
        <v>547</v>
      </c>
      <c r="D6" s="1361" t="s">
        <v>548</v>
      </c>
      <c r="E6" s="1321"/>
      <c r="F6" s="1321"/>
      <c r="G6" s="1321"/>
      <c r="H6" s="1321"/>
      <c r="I6" s="1321"/>
      <c r="J6" s="1321"/>
      <c r="K6" s="1321"/>
      <c r="L6" s="1321"/>
      <c r="M6" s="1321"/>
      <c r="N6" s="1321"/>
      <c r="O6" s="1321"/>
      <c r="P6" s="1321"/>
      <c r="Q6" s="1321"/>
      <c r="R6" s="1321"/>
      <c r="S6" s="1321"/>
      <c r="T6" s="1321"/>
      <c r="U6" s="1321"/>
      <c r="V6" s="1321"/>
      <c r="W6" s="1321"/>
      <c r="X6" s="1321"/>
      <c r="Y6" s="1321"/>
      <c r="Z6" s="1321"/>
      <c r="AA6" s="1321"/>
      <c r="AB6" s="1321"/>
      <c r="AC6" s="1321"/>
      <c r="AD6" s="1321"/>
      <c r="AE6" s="1321"/>
      <c r="AF6" s="1321"/>
      <c r="AG6" s="1321"/>
      <c r="AH6" s="1321"/>
      <c r="AI6" s="1321"/>
      <c r="AJ6" s="1321"/>
      <c r="AK6" s="1321"/>
      <c r="AL6" s="1321"/>
      <c r="AM6" s="1321"/>
      <c r="AN6" s="1321"/>
      <c r="AO6" s="1321"/>
      <c r="AP6" s="1321"/>
      <c r="AQ6" s="1321"/>
      <c r="AR6" s="1321"/>
      <c r="AS6" s="1321"/>
      <c r="AT6" s="1321"/>
      <c r="AU6" s="1321"/>
      <c r="AV6" s="1321"/>
      <c r="AW6" s="1321"/>
      <c r="AX6" s="1321"/>
      <c r="AY6" s="1321"/>
      <c r="AZ6" s="1321"/>
      <c r="BA6" s="1321"/>
      <c r="BB6" s="1321"/>
      <c r="BC6" s="1321"/>
      <c r="BD6" s="1321"/>
      <c r="BE6" s="1321"/>
      <c r="BF6" s="1321"/>
      <c r="BG6" s="1321"/>
      <c r="BH6" s="1321"/>
      <c r="BI6" s="1321"/>
      <c r="BJ6" s="1321"/>
      <c r="BK6" s="1321"/>
      <c r="BL6" s="1321"/>
      <c r="BM6" s="1321"/>
      <c r="BN6" s="1321"/>
      <c r="BO6" s="1321"/>
      <c r="BP6" s="1321"/>
      <c r="BQ6" s="1321"/>
      <c r="BR6" s="1321"/>
      <c r="BS6" s="1321"/>
      <c r="BT6" s="1321"/>
      <c r="BU6" s="1321"/>
      <c r="BV6" s="1321"/>
      <c r="BW6" s="1321"/>
      <c r="BX6" s="1321"/>
      <c r="BY6" s="1321"/>
      <c r="BZ6" s="1321"/>
      <c r="CA6" s="1321"/>
      <c r="CB6" s="1321"/>
      <c r="CC6" s="1321"/>
      <c r="CD6" s="1321"/>
      <c r="CE6" s="1321"/>
      <c r="CF6" s="1321"/>
      <c r="CG6" s="1321"/>
      <c r="CH6" s="1321"/>
      <c r="CI6" s="1321"/>
      <c r="CJ6" s="1321"/>
      <c r="CK6" s="1321"/>
      <c r="CL6" s="1321"/>
      <c r="CM6" s="1321"/>
      <c r="CN6" s="1321"/>
      <c r="CO6" s="1321"/>
      <c r="CP6" s="1321"/>
      <c r="CQ6" s="1321"/>
      <c r="CR6" s="1321"/>
      <c r="CS6" s="1321"/>
      <c r="CT6" s="1321"/>
      <c r="CU6" s="1321"/>
      <c r="CV6" s="1321"/>
      <c r="CW6" s="1321"/>
      <c r="CX6" s="1321"/>
      <c r="CY6" s="1321"/>
      <c r="CZ6" s="1321"/>
      <c r="DA6" s="1321"/>
      <c r="DB6" s="1321"/>
      <c r="DC6" s="1321"/>
      <c r="DD6" s="1321"/>
      <c r="DE6" s="1321"/>
      <c r="DF6" s="1321"/>
      <c r="DG6" s="1321"/>
      <c r="DH6" s="1321"/>
      <c r="DI6" s="1321"/>
      <c r="DJ6" s="1321"/>
      <c r="DK6" s="1321"/>
      <c r="DL6" s="1321"/>
      <c r="DM6" s="1321"/>
      <c r="DN6" s="1321"/>
      <c r="DO6" s="1321"/>
      <c r="DP6" s="1321"/>
      <c r="DQ6" s="1321"/>
      <c r="DR6" s="1321"/>
      <c r="DS6" s="1321"/>
      <c r="DT6" s="1321"/>
      <c r="DU6" s="1321"/>
      <c r="DV6" s="1321"/>
      <c r="DW6" s="1321"/>
      <c r="DX6" s="1321"/>
      <c r="DY6" s="1321"/>
      <c r="DZ6" s="1321"/>
      <c r="EA6" s="1321"/>
      <c r="EB6" s="1321"/>
      <c r="EC6" s="1321"/>
      <c r="ED6" s="1321"/>
      <c r="EE6" s="1321"/>
      <c r="EF6" s="1321"/>
      <c r="EG6" s="1321"/>
      <c r="EH6" s="1321"/>
      <c r="EI6" s="1321"/>
      <c r="EJ6" s="1321"/>
      <c r="EK6" s="1321"/>
      <c r="EL6" s="1321"/>
      <c r="EM6" s="1321"/>
      <c r="EN6" s="1321"/>
      <c r="EO6" s="1321"/>
      <c r="EP6" s="1321"/>
      <c r="EQ6" s="1321"/>
      <c r="ER6" s="1321"/>
      <c r="ES6" s="1321"/>
      <c r="ET6" s="1321"/>
      <c r="EU6" s="1321"/>
      <c r="EV6" s="1321"/>
      <c r="EW6" s="1321"/>
      <c r="EX6" s="1321"/>
      <c r="EY6" s="1321"/>
      <c r="EZ6" s="1321"/>
      <c r="FA6" s="1321"/>
      <c r="FB6" s="1321"/>
      <c r="FC6" s="1321"/>
      <c r="FD6" s="1321"/>
      <c r="FE6" s="1321"/>
      <c r="FF6" s="1321"/>
      <c r="FG6" s="1321"/>
      <c r="FH6" s="1321"/>
      <c r="FI6" s="1321"/>
      <c r="FJ6" s="1321"/>
      <c r="FK6" s="1321"/>
      <c r="FL6" s="1321"/>
      <c r="FM6" s="1321"/>
      <c r="FN6" s="1321"/>
      <c r="FO6" s="1321"/>
      <c r="FP6" s="1321"/>
      <c r="FQ6" s="1321"/>
      <c r="FR6" s="1321"/>
      <c r="FS6" s="1321"/>
      <c r="FT6" s="1321"/>
      <c r="FU6" s="1321"/>
      <c r="FV6" s="1321"/>
      <c r="FW6" s="1321"/>
      <c r="FX6" s="1321"/>
      <c r="FY6" s="1321"/>
      <c r="FZ6" s="1321"/>
      <c r="GA6" s="1321"/>
      <c r="GB6" s="1321"/>
      <c r="GC6" s="1321"/>
      <c r="GD6" s="1321"/>
      <c r="GE6" s="1321"/>
      <c r="GF6" s="1321"/>
      <c r="GG6" s="1321"/>
      <c r="GH6" s="1321"/>
      <c r="GI6" s="1321"/>
      <c r="GJ6" s="1321"/>
      <c r="GK6" s="1321"/>
      <c r="GL6" s="1321"/>
      <c r="GM6" s="1321"/>
      <c r="GN6" s="1321"/>
      <c r="GO6" s="1321"/>
      <c r="GP6" s="1321"/>
      <c r="GQ6" s="1321"/>
      <c r="GR6" s="1321"/>
      <c r="GS6" s="1321"/>
      <c r="GT6" s="1321"/>
      <c r="GU6" s="1321"/>
      <c r="GV6" s="1321"/>
      <c r="GW6" s="1321"/>
      <c r="GX6" s="1321"/>
      <c r="GY6" s="1321"/>
      <c r="GZ6" s="1321"/>
      <c r="HA6" s="1321"/>
      <c r="HB6" s="1321"/>
      <c r="HC6" s="1321"/>
      <c r="HD6" s="1321"/>
      <c r="HE6" s="1321"/>
      <c r="HF6" s="1321"/>
      <c r="HG6" s="1321"/>
      <c r="HH6" s="1321"/>
      <c r="HI6" s="1321"/>
      <c r="HJ6" s="1321"/>
      <c r="HK6" s="1321"/>
      <c r="HL6" s="1321"/>
      <c r="HM6" s="1321"/>
      <c r="HN6" s="1321"/>
      <c r="HO6" s="1321"/>
      <c r="HP6" s="1321"/>
      <c r="HQ6" s="1321"/>
      <c r="HR6" s="1321"/>
      <c r="HS6" s="1321"/>
      <c r="HT6" s="1321"/>
      <c r="HU6" s="1321"/>
      <c r="HV6" s="1321"/>
      <c r="HW6" s="1321"/>
      <c r="HX6" s="1321"/>
      <c r="HY6" s="1321"/>
      <c r="HZ6" s="1321"/>
      <c r="IA6" s="1321"/>
      <c r="IB6" s="1321"/>
      <c r="IC6" s="1321"/>
      <c r="ID6" s="1321"/>
      <c r="IE6" s="1321"/>
      <c r="IF6" s="1321"/>
      <c r="IG6" s="1321"/>
      <c r="IH6" s="1321"/>
      <c r="II6" s="1321"/>
      <c r="IJ6" s="1321"/>
      <c r="IK6" s="1321"/>
      <c r="IL6" s="1321"/>
      <c r="IM6" s="1321"/>
      <c r="IN6" s="1321"/>
      <c r="IO6" s="1321"/>
      <c r="IP6" s="1321"/>
      <c r="IQ6" s="1321"/>
      <c r="IR6" s="1321"/>
      <c r="IS6" s="1321"/>
      <c r="IT6" s="1321"/>
      <c r="IU6" s="1321"/>
      <c r="IV6" s="1321"/>
    </row>
    <row r="7" spans="1:256" ht="48" customHeight="1">
      <c r="A7" s="1362" t="s">
        <v>770</v>
      </c>
      <c r="B7" s="1363" t="s">
        <v>771</v>
      </c>
      <c r="C7" s="1364">
        <f>SUM(C8:C11)</f>
        <v>545525</v>
      </c>
      <c r="D7" s="1364">
        <v>0</v>
      </c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1325"/>
      <c r="AN7" s="1325"/>
      <c r="AO7" s="1325"/>
      <c r="AP7" s="1325"/>
      <c r="AQ7" s="1325"/>
      <c r="AR7" s="1325"/>
      <c r="AS7" s="1325"/>
      <c r="AT7" s="1325"/>
      <c r="AU7" s="1325"/>
      <c r="AV7" s="1325"/>
      <c r="AW7" s="1325"/>
      <c r="AX7" s="1325"/>
      <c r="AY7" s="1325"/>
      <c r="AZ7" s="1325"/>
      <c r="BA7" s="1325"/>
      <c r="BB7" s="1325"/>
      <c r="BC7" s="1325"/>
      <c r="BD7" s="1325"/>
      <c r="BE7" s="1325"/>
      <c r="BF7" s="1325"/>
      <c r="BG7" s="1325"/>
      <c r="BH7" s="1325"/>
      <c r="BI7" s="1325"/>
      <c r="BJ7" s="1325"/>
      <c r="BK7" s="1325"/>
      <c r="BL7" s="1325"/>
      <c r="BM7" s="1325"/>
      <c r="BN7" s="1325"/>
      <c r="BO7" s="1325"/>
      <c r="BP7" s="1325"/>
      <c r="BQ7" s="1325"/>
      <c r="BR7" s="1325"/>
      <c r="BS7" s="1325"/>
      <c r="BT7" s="1325"/>
      <c r="BU7" s="1325"/>
      <c r="BV7" s="1325"/>
      <c r="BW7" s="1325"/>
      <c r="BX7" s="1325"/>
      <c r="BY7" s="1325"/>
      <c r="BZ7" s="1325"/>
      <c r="CA7" s="1325"/>
      <c r="CB7" s="1325"/>
      <c r="CC7" s="1325"/>
      <c r="CD7" s="1325"/>
      <c r="CE7" s="1325"/>
      <c r="CF7" s="1325"/>
      <c r="CG7" s="1325"/>
      <c r="CH7" s="1325"/>
      <c r="CI7" s="1325"/>
      <c r="CJ7" s="1325"/>
      <c r="CK7" s="1325"/>
      <c r="CL7" s="1325"/>
      <c r="CM7" s="1325"/>
      <c r="CN7" s="1325"/>
      <c r="CO7" s="1325"/>
      <c r="CP7" s="1325"/>
      <c r="CQ7" s="1325"/>
      <c r="CR7" s="1325"/>
      <c r="CS7" s="1325"/>
      <c r="CT7" s="1325"/>
      <c r="CU7" s="1325"/>
      <c r="CV7" s="1325"/>
      <c r="CW7" s="1325"/>
      <c r="CX7" s="1325"/>
      <c r="CY7" s="1325"/>
      <c r="CZ7" s="1325"/>
      <c r="DA7" s="1325"/>
      <c r="DB7" s="1325"/>
      <c r="DC7" s="1325"/>
      <c r="DD7" s="1325"/>
      <c r="DE7" s="1325"/>
      <c r="DF7" s="1325"/>
      <c r="DG7" s="1325"/>
      <c r="DH7" s="1325"/>
      <c r="DI7" s="1325"/>
      <c r="DJ7" s="1325"/>
      <c r="DK7" s="1325"/>
      <c r="DL7" s="1325"/>
      <c r="DM7" s="1325"/>
      <c r="DN7" s="1325"/>
      <c r="DO7" s="1325"/>
      <c r="DP7" s="1325"/>
      <c r="DQ7" s="1325"/>
      <c r="DR7" s="1325"/>
      <c r="DS7" s="1325"/>
      <c r="DT7" s="1325"/>
      <c r="DU7" s="1325"/>
      <c r="DV7" s="1325"/>
      <c r="DW7" s="1325"/>
      <c r="DX7" s="1325"/>
      <c r="DY7" s="1325"/>
      <c r="DZ7" s="1325"/>
      <c r="EA7" s="1325"/>
      <c r="EB7" s="1325"/>
      <c r="EC7" s="1325"/>
      <c r="ED7" s="1325"/>
      <c r="EE7" s="1325"/>
      <c r="EF7" s="1325"/>
      <c r="EG7" s="1325"/>
      <c r="EH7" s="1325"/>
      <c r="EI7" s="1325"/>
      <c r="EJ7" s="1325"/>
      <c r="EK7" s="1325"/>
      <c r="EL7" s="1325"/>
      <c r="EM7" s="1325"/>
      <c r="EN7" s="1325"/>
      <c r="EO7" s="1325"/>
      <c r="EP7" s="1325"/>
      <c r="EQ7" s="1325"/>
      <c r="ER7" s="1325"/>
      <c r="ES7" s="1325"/>
      <c r="ET7" s="1325"/>
      <c r="EU7" s="1325"/>
      <c r="EV7" s="1325"/>
      <c r="EW7" s="1325"/>
      <c r="EX7" s="1325"/>
      <c r="EY7" s="1325"/>
      <c r="EZ7" s="1325"/>
      <c r="FA7" s="1325"/>
      <c r="FB7" s="1325"/>
      <c r="FC7" s="1325"/>
      <c r="FD7" s="1325"/>
      <c r="FE7" s="1325"/>
      <c r="FF7" s="1325"/>
      <c r="FG7" s="1325"/>
      <c r="FH7" s="1325"/>
      <c r="FI7" s="1325"/>
      <c r="FJ7" s="1325"/>
      <c r="FK7" s="1325"/>
      <c r="FL7" s="1325"/>
      <c r="FM7" s="1325"/>
      <c r="FN7" s="1325"/>
      <c r="FO7" s="1325"/>
      <c r="FP7" s="1325"/>
      <c r="FQ7" s="1325"/>
      <c r="FR7" s="1325"/>
      <c r="FS7" s="1325"/>
      <c r="FT7" s="1325"/>
      <c r="FU7" s="1325"/>
      <c r="FV7" s="1325"/>
      <c r="FW7" s="1325"/>
      <c r="FX7" s="1325"/>
      <c r="FY7" s="1325"/>
      <c r="FZ7" s="1325"/>
      <c r="GA7" s="1325"/>
      <c r="GB7" s="1325"/>
      <c r="GC7" s="1325"/>
      <c r="GD7" s="1325"/>
      <c r="GE7" s="1325"/>
      <c r="GF7" s="1325"/>
      <c r="GG7" s="1325"/>
      <c r="GH7" s="1325"/>
      <c r="GI7" s="1325"/>
      <c r="GJ7" s="1325"/>
      <c r="GK7" s="1325"/>
      <c r="GL7" s="1325"/>
      <c r="GM7" s="1325"/>
      <c r="GN7" s="1325"/>
      <c r="GO7" s="1325"/>
      <c r="GP7" s="1325"/>
      <c r="GQ7" s="1325"/>
      <c r="GR7" s="1325"/>
      <c r="GS7" s="1325"/>
      <c r="GT7" s="1325"/>
      <c r="GU7" s="1325"/>
      <c r="GV7" s="1325"/>
      <c r="GW7" s="1325"/>
      <c r="GX7" s="1325"/>
      <c r="GY7" s="1325"/>
      <c r="GZ7" s="1325"/>
      <c r="HA7" s="1325"/>
      <c r="HB7" s="1325"/>
      <c r="HC7" s="1325"/>
      <c r="HD7" s="1325"/>
      <c r="HE7" s="1325"/>
      <c r="HF7" s="1325"/>
      <c r="HG7" s="1325"/>
      <c r="HH7" s="1325"/>
      <c r="HI7" s="1325"/>
      <c r="HJ7" s="1325"/>
      <c r="HK7" s="1325"/>
      <c r="HL7" s="1325"/>
      <c r="HM7" s="1325"/>
      <c r="HN7" s="1325"/>
      <c r="HO7" s="1325"/>
      <c r="HP7" s="1325"/>
      <c r="HQ7" s="1325"/>
      <c r="HR7" s="1325"/>
      <c r="HS7" s="1325"/>
      <c r="HT7" s="1325"/>
      <c r="HU7" s="1325"/>
      <c r="HV7" s="1325"/>
      <c r="HW7" s="1325"/>
      <c r="HX7" s="1325"/>
      <c r="HY7" s="1325"/>
      <c r="HZ7" s="1325"/>
      <c r="IA7" s="1325"/>
      <c r="IB7" s="1325"/>
      <c r="IC7" s="1325"/>
      <c r="ID7" s="1325"/>
      <c r="IE7" s="1325"/>
      <c r="IF7" s="1325"/>
      <c r="IG7" s="1325"/>
      <c r="IH7" s="1325"/>
      <c r="II7" s="1325"/>
      <c r="IJ7" s="1325"/>
      <c r="IK7" s="1325"/>
      <c r="IL7" s="1325"/>
      <c r="IM7" s="1325"/>
      <c r="IN7" s="1325"/>
      <c r="IO7" s="1325"/>
      <c r="IP7" s="1325"/>
      <c r="IQ7" s="1325"/>
      <c r="IR7" s="1325"/>
      <c r="IS7" s="1325"/>
      <c r="IT7" s="1325"/>
      <c r="IU7" s="1325"/>
      <c r="IV7" s="1325"/>
    </row>
    <row r="8" spans="1:256" ht="48" customHeight="1">
      <c r="A8" s="1365" t="s">
        <v>772</v>
      </c>
      <c r="B8" s="1366" t="s">
        <v>773</v>
      </c>
      <c r="C8" s="1367"/>
      <c r="D8" s="1367"/>
      <c r="E8" s="1325"/>
      <c r="F8" s="1325"/>
      <c r="G8" s="1325"/>
      <c r="H8" s="1325"/>
      <c r="I8" s="1325"/>
      <c r="J8" s="1325"/>
      <c r="K8" s="1325"/>
      <c r="L8" s="1325"/>
      <c r="M8" s="1325"/>
      <c r="N8" s="1325"/>
      <c r="O8" s="1325"/>
      <c r="P8" s="1325"/>
      <c r="Q8" s="1325"/>
      <c r="R8" s="1325"/>
      <c r="S8" s="1325"/>
      <c r="T8" s="1325"/>
      <c r="U8" s="1325"/>
      <c r="V8" s="1325"/>
      <c r="W8" s="1325"/>
      <c r="X8" s="1325"/>
      <c r="Y8" s="1325"/>
      <c r="Z8" s="1325"/>
      <c r="AA8" s="1325"/>
      <c r="AB8" s="1325"/>
      <c r="AC8" s="1325"/>
      <c r="AD8" s="1325"/>
      <c r="AE8" s="1325"/>
      <c r="AF8" s="1325"/>
      <c r="AG8" s="1325"/>
      <c r="AH8" s="1325"/>
      <c r="AI8" s="1325"/>
      <c r="AJ8" s="1325"/>
      <c r="AK8" s="1325"/>
      <c r="AL8" s="1325"/>
      <c r="AM8" s="1325"/>
      <c r="AN8" s="1325"/>
      <c r="AO8" s="1325"/>
      <c r="AP8" s="1325"/>
      <c r="AQ8" s="1325"/>
      <c r="AR8" s="1325"/>
      <c r="AS8" s="1325"/>
      <c r="AT8" s="1325"/>
      <c r="AU8" s="1325"/>
      <c r="AV8" s="1325"/>
      <c r="AW8" s="1325"/>
      <c r="AX8" s="1325"/>
      <c r="AY8" s="1325"/>
      <c r="AZ8" s="1325"/>
      <c r="BA8" s="1325"/>
      <c r="BB8" s="1325"/>
      <c r="BC8" s="1325"/>
      <c r="BD8" s="1325"/>
      <c r="BE8" s="1325"/>
      <c r="BF8" s="1325"/>
      <c r="BG8" s="1325"/>
      <c r="BH8" s="1325"/>
      <c r="BI8" s="1325"/>
      <c r="BJ8" s="1325"/>
      <c r="BK8" s="1325"/>
      <c r="BL8" s="1325"/>
      <c r="BM8" s="1325"/>
      <c r="BN8" s="1325"/>
      <c r="BO8" s="1325"/>
      <c r="BP8" s="1325"/>
      <c r="BQ8" s="1325"/>
      <c r="BR8" s="1325"/>
      <c r="BS8" s="1325"/>
      <c r="BT8" s="1325"/>
      <c r="BU8" s="1325"/>
      <c r="BV8" s="1325"/>
      <c r="BW8" s="1325"/>
      <c r="BX8" s="1325"/>
      <c r="BY8" s="1325"/>
      <c r="BZ8" s="1325"/>
      <c r="CA8" s="1325"/>
      <c r="CB8" s="1325"/>
      <c r="CC8" s="1325"/>
      <c r="CD8" s="1325"/>
      <c r="CE8" s="1325"/>
      <c r="CF8" s="1325"/>
      <c r="CG8" s="1325"/>
      <c r="CH8" s="1325"/>
      <c r="CI8" s="1325"/>
      <c r="CJ8" s="1325"/>
      <c r="CK8" s="1325"/>
      <c r="CL8" s="1325"/>
      <c r="CM8" s="1325"/>
      <c r="CN8" s="1325"/>
      <c r="CO8" s="1325"/>
      <c r="CP8" s="1325"/>
      <c r="CQ8" s="1325"/>
      <c r="CR8" s="1325"/>
      <c r="CS8" s="1325"/>
      <c r="CT8" s="1325"/>
      <c r="CU8" s="1325"/>
      <c r="CV8" s="1325"/>
      <c r="CW8" s="1325"/>
      <c r="CX8" s="1325"/>
      <c r="CY8" s="1325"/>
      <c r="CZ8" s="1325"/>
      <c r="DA8" s="1325"/>
      <c r="DB8" s="1325"/>
      <c r="DC8" s="1325"/>
      <c r="DD8" s="1325"/>
      <c r="DE8" s="1325"/>
      <c r="DF8" s="1325"/>
      <c r="DG8" s="1325"/>
      <c r="DH8" s="1325"/>
      <c r="DI8" s="1325"/>
      <c r="DJ8" s="1325"/>
      <c r="DK8" s="1325"/>
      <c r="DL8" s="1325"/>
      <c r="DM8" s="1325"/>
      <c r="DN8" s="1325"/>
      <c r="DO8" s="1325"/>
      <c r="DP8" s="1325"/>
      <c r="DQ8" s="1325"/>
      <c r="DR8" s="1325"/>
      <c r="DS8" s="1325"/>
      <c r="DT8" s="1325"/>
      <c r="DU8" s="1325"/>
      <c r="DV8" s="1325"/>
      <c r="DW8" s="1325"/>
      <c r="DX8" s="1325"/>
      <c r="DY8" s="1325"/>
      <c r="DZ8" s="1325"/>
      <c r="EA8" s="1325"/>
      <c r="EB8" s="1325"/>
      <c r="EC8" s="1325"/>
      <c r="ED8" s="1325"/>
      <c r="EE8" s="1325"/>
      <c r="EF8" s="1325"/>
      <c r="EG8" s="1325"/>
      <c r="EH8" s="1325"/>
      <c r="EI8" s="1325"/>
      <c r="EJ8" s="1325"/>
      <c r="EK8" s="1325"/>
      <c r="EL8" s="1325"/>
      <c r="EM8" s="1325"/>
      <c r="EN8" s="1325"/>
      <c r="EO8" s="1325"/>
      <c r="EP8" s="1325"/>
      <c r="EQ8" s="1325"/>
      <c r="ER8" s="1325"/>
      <c r="ES8" s="1325"/>
      <c r="ET8" s="1325"/>
      <c r="EU8" s="1325"/>
      <c r="EV8" s="1325"/>
      <c r="EW8" s="1325"/>
      <c r="EX8" s="1325"/>
      <c r="EY8" s="1325"/>
      <c r="EZ8" s="1325"/>
      <c r="FA8" s="1325"/>
      <c r="FB8" s="1325"/>
      <c r="FC8" s="1325"/>
      <c r="FD8" s="1325"/>
      <c r="FE8" s="1325"/>
      <c r="FF8" s="1325"/>
      <c r="FG8" s="1325"/>
      <c r="FH8" s="1325"/>
      <c r="FI8" s="1325"/>
      <c r="FJ8" s="1325"/>
      <c r="FK8" s="1325"/>
      <c r="FL8" s="1325"/>
      <c r="FM8" s="1325"/>
      <c r="FN8" s="1325"/>
      <c r="FO8" s="1325"/>
      <c r="FP8" s="1325"/>
      <c r="FQ8" s="1325"/>
      <c r="FR8" s="1325"/>
      <c r="FS8" s="1325"/>
      <c r="FT8" s="1325"/>
      <c r="FU8" s="1325"/>
      <c r="FV8" s="1325"/>
      <c r="FW8" s="1325"/>
      <c r="FX8" s="1325"/>
      <c r="FY8" s="1325"/>
      <c r="FZ8" s="1325"/>
      <c r="GA8" s="1325"/>
      <c r="GB8" s="1325"/>
      <c r="GC8" s="1325"/>
      <c r="GD8" s="1325"/>
      <c r="GE8" s="1325"/>
      <c r="GF8" s="1325"/>
      <c r="GG8" s="1325"/>
      <c r="GH8" s="1325"/>
      <c r="GI8" s="1325"/>
      <c r="GJ8" s="1325"/>
      <c r="GK8" s="1325"/>
      <c r="GL8" s="1325"/>
      <c r="GM8" s="1325"/>
      <c r="GN8" s="1325"/>
      <c r="GO8" s="1325"/>
      <c r="GP8" s="1325"/>
      <c r="GQ8" s="1325"/>
      <c r="GR8" s="1325"/>
      <c r="GS8" s="1325"/>
      <c r="GT8" s="1325"/>
      <c r="GU8" s="1325"/>
      <c r="GV8" s="1325"/>
      <c r="GW8" s="1325"/>
      <c r="GX8" s="1325"/>
      <c r="GY8" s="1325"/>
      <c r="GZ8" s="1325"/>
      <c r="HA8" s="1325"/>
      <c r="HB8" s="1325"/>
      <c r="HC8" s="1325"/>
      <c r="HD8" s="1325"/>
      <c r="HE8" s="1325"/>
      <c r="HF8" s="1325"/>
      <c r="HG8" s="1325"/>
      <c r="HH8" s="1325"/>
      <c r="HI8" s="1325"/>
      <c r="HJ8" s="1325"/>
      <c r="HK8" s="1325"/>
      <c r="HL8" s="1325"/>
      <c r="HM8" s="1325"/>
      <c r="HN8" s="1325"/>
      <c r="HO8" s="1325"/>
      <c r="HP8" s="1325"/>
      <c r="HQ8" s="1325"/>
      <c r="HR8" s="1325"/>
      <c r="HS8" s="1325"/>
      <c r="HT8" s="1325"/>
      <c r="HU8" s="1325"/>
      <c r="HV8" s="1325"/>
      <c r="HW8" s="1325"/>
      <c r="HX8" s="1325"/>
      <c r="HY8" s="1325"/>
      <c r="HZ8" s="1325"/>
      <c r="IA8" s="1325"/>
      <c r="IB8" s="1325"/>
      <c r="IC8" s="1325"/>
      <c r="ID8" s="1325"/>
      <c r="IE8" s="1325"/>
      <c r="IF8" s="1325"/>
      <c r="IG8" s="1325"/>
      <c r="IH8" s="1325"/>
      <c r="II8" s="1325"/>
      <c r="IJ8" s="1325"/>
      <c r="IK8" s="1325"/>
      <c r="IL8" s="1325"/>
      <c r="IM8" s="1325"/>
      <c r="IN8" s="1325"/>
      <c r="IO8" s="1325"/>
      <c r="IP8" s="1325"/>
      <c r="IQ8" s="1325"/>
      <c r="IR8" s="1325"/>
      <c r="IS8" s="1325"/>
      <c r="IT8" s="1325"/>
      <c r="IU8" s="1325"/>
      <c r="IV8" s="1325"/>
    </row>
    <row r="9" spans="1:256" ht="48" customHeight="1">
      <c r="A9" s="1365" t="s">
        <v>774</v>
      </c>
      <c r="B9" s="1366" t="s">
        <v>775</v>
      </c>
      <c r="C9" s="1367"/>
      <c r="D9" s="1367"/>
      <c r="E9" s="1325"/>
      <c r="F9" s="1325"/>
      <c r="G9" s="1325"/>
      <c r="H9" s="1325"/>
      <c r="I9" s="1325"/>
      <c r="J9" s="1325"/>
      <c r="K9" s="1325"/>
      <c r="L9" s="1325"/>
      <c r="M9" s="1325"/>
      <c r="N9" s="1325"/>
      <c r="O9" s="1325"/>
      <c r="P9" s="1325"/>
      <c r="Q9" s="1325"/>
      <c r="R9" s="1325"/>
      <c r="S9" s="1325"/>
      <c r="T9" s="1325"/>
      <c r="U9" s="1325"/>
      <c r="V9" s="1325"/>
      <c r="W9" s="1325"/>
      <c r="X9" s="1325"/>
      <c r="Y9" s="1325"/>
      <c r="Z9" s="1325"/>
      <c r="AA9" s="1325"/>
      <c r="AB9" s="1325"/>
      <c r="AC9" s="1325"/>
      <c r="AD9" s="1325"/>
      <c r="AE9" s="1325"/>
      <c r="AF9" s="1325"/>
      <c r="AG9" s="1325"/>
      <c r="AH9" s="1325"/>
      <c r="AI9" s="1325"/>
      <c r="AJ9" s="1325"/>
      <c r="AK9" s="1325"/>
      <c r="AL9" s="1325"/>
      <c r="AM9" s="1325"/>
      <c r="AN9" s="1325"/>
      <c r="AO9" s="1325"/>
      <c r="AP9" s="1325"/>
      <c r="AQ9" s="1325"/>
      <c r="AR9" s="1325"/>
      <c r="AS9" s="1325"/>
      <c r="AT9" s="1325"/>
      <c r="AU9" s="1325"/>
      <c r="AV9" s="1325"/>
      <c r="AW9" s="1325"/>
      <c r="AX9" s="1325"/>
      <c r="AY9" s="1325"/>
      <c r="AZ9" s="1325"/>
      <c r="BA9" s="1325"/>
      <c r="BB9" s="1325"/>
      <c r="BC9" s="1325"/>
      <c r="BD9" s="1325"/>
      <c r="BE9" s="1325"/>
      <c r="BF9" s="1325"/>
      <c r="BG9" s="1325"/>
      <c r="BH9" s="1325"/>
      <c r="BI9" s="1325"/>
      <c r="BJ9" s="1325"/>
      <c r="BK9" s="1325"/>
      <c r="BL9" s="1325"/>
      <c r="BM9" s="1325"/>
      <c r="BN9" s="1325"/>
      <c r="BO9" s="1325"/>
      <c r="BP9" s="1325"/>
      <c r="BQ9" s="1325"/>
      <c r="BR9" s="1325"/>
      <c r="BS9" s="1325"/>
      <c r="BT9" s="1325"/>
      <c r="BU9" s="1325"/>
      <c r="BV9" s="1325"/>
      <c r="BW9" s="1325"/>
      <c r="BX9" s="1325"/>
      <c r="BY9" s="1325"/>
      <c r="BZ9" s="1325"/>
      <c r="CA9" s="1325"/>
      <c r="CB9" s="1325"/>
      <c r="CC9" s="1325"/>
      <c r="CD9" s="1325"/>
      <c r="CE9" s="1325"/>
      <c r="CF9" s="1325"/>
      <c r="CG9" s="1325"/>
      <c r="CH9" s="1325"/>
      <c r="CI9" s="1325"/>
      <c r="CJ9" s="1325"/>
      <c r="CK9" s="1325"/>
      <c r="CL9" s="1325"/>
      <c r="CM9" s="1325"/>
      <c r="CN9" s="1325"/>
      <c r="CO9" s="1325"/>
      <c r="CP9" s="1325"/>
      <c r="CQ9" s="1325"/>
      <c r="CR9" s="1325"/>
      <c r="CS9" s="1325"/>
      <c r="CT9" s="1325"/>
      <c r="CU9" s="1325"/>
      <c r="CV9" s="1325"/>
      <c r="CW9" s="1325"/>
      <c r="CX9" s="1325"/>
      <c r="CY9" s="1325"/>
      <c r="CZ9" s="1325"/>
      <c r="DA9" s="1325"/>
      <c r="DB9" s="1325"/>
      <c r="DC9" s="1325"/>
      <c r="DD9" s="1325"/>
      <c r="DE9" s="1325"/>
      <c r="DF9" s="1325"/>
      <c r="DG9" s="1325"/>
      <c r="DH9" s="1325"/>
      <c r="DI9" s="1325"/>
      <c r="DJ9" s="1325"/>
      <c r="DK9" s="1325"/>
      <c r="DL9" s="1325"/>
      <c r="DM9" s="1325"/>
      <c r="DN9" s="1325"/>
      <c r="DO9" s="1325"/>
      <c r="DP9" s="1325"/>
      <c r="DQ9" s="1325"/>
      <c r="DR9" s="1325"/>
      <c r="DS9" s="1325"/>
      <c r="DT9" s="1325"/>
      <c r="DU9" s="1325"/>
      <c r="DV9" s="1325"/>
      <c r="DW9" s="1325"/>
      <c r="DX9" s="1325"/>
      <c r="DY9" s="1325"/>
      <c r="DZ9" s="1325"/>
      <c r="EA9" s="1325"/>
      <c r="EB9" s="1325"/>
      <c r="EC9" s="1325"/>
      <c r="ED9" s="1325"/>
      <c r="EE9" s="1325"/>
      <c r="EF9" s="1325"/>
      <c r="EG9" s="1325"/>
      <c r="EH9" s="1325"/>
      <c r="EI9" s="1325"/>
      <c r="EJ9" s="1325"/>
      <c r="EK9" s="1325"/>
      <c r="EL9" s="1325"/>
      <c r="EM9" s="1325"/>
      <c r="EN9" s="1325"/>
      <c r="EO9" s="1325"/>
      <c r="EP9" s="1325"/>
      <c r="EQ9" s="1325"/>
      <c r="ER9" s="1325"/>
      <c r="ES9" s="1325"/>
      <c r="ET9" s="1325"/>
      <c r="EU9" s="1325"/>
      <c r="EV9" s="1325"/>
      <c r="EW9" s="1325"/>
      <c r="EX9" s="1325"/>
      <c r="EY9" s="1325"/>
      <c r="EZ9" s="1325"/>
      <c r="FA9" s="1325"/>
      <c r="FB9" s="1325"/>
      <c r="FC9" s="1325"/>
      <c r="FD9" s="1325"/>
      <c r="FE9" s="1325"/>
      <c r="FF9" s="1325"/>
      <c r="FG9" s="1325"/>
      <c r="FH9" s="1325"/>
      <c r="FI9" s="1325"/>
      <c r="FJ9" s="1325"/>
      <c r="FK9" s="1325"/>
      <c r="FL9" s="1325"/>
      <c r="FM9" s="1325"/>
      <c r="FN9" s="1325"/>
      <c r="FO9" s="1325"/>
      <c r="FP9" s="1325"/>
      <c r="FQ9" s="1325"/>
      <c r="FR9" s="1325"/>
      <c r="FS9" s="1325"/>
      <c r="FT9" s="1325"/>
      <c r="FU9" s="1325"/>
      <c r="FV9" s="1325"/>
      <c r="FW9" s="1325"/>
      <c r="FX9" s="1325"/>
      <c r="FY9" s="1325"/>
      <c r="FZ9" s="1325"/>
      <c r="GA9" s="1325"/>
      <c r="GB9" s="1325"/>
      <c r="GC9" s="1325"/>
      <c r="GD9" s="1325"/>
      <c r="GE9" s="1325"/>
      <c r="GF9" s="1325"/>
      <c r="GG9" s="1325"/>
      <c r="GH9" s="1325"/>
      <c r="GI9" s="1325"/>
      <c r="GJ9" s="1325"/>
      <c r="GK9" s="1325"/>
      <c r="GL9" s="1325"/>
      <c r="GM9" s="1325"/>
      <c r="GN9" s="1325"/>
      <c r="GO9" s="1325"/>
      <c r="GP9" s="1325"/>
      <c r="GQ9" s="1325"/>
      <c r="GR9" s="1325"/>
      <c r="GS9" s="1325"/>
      <c r="GT9" s="1325"/>
      <c r="GU9" s="1325"/>
      <c r="GV9" s="1325"/>
      <c r="GW9" s="1325"/>
      <c r="GX9" s="1325"/>
      <c r="GY9" s="1325"/>
      <c r="GZ9" s="1325"/>
      <c r="HA9" s="1325"/>
      <c r="HB9" s="1325"/>
      <c r="HC9" s="1325"/>
      <c r="HD9" s="1325"/>
      <c r="HE9" s="1325"/>
      <c r="HF9" s="1325"/>
      <c r="HG9" s="1325"/>
      <c r="HH9" s="1325"/>
      <c r="HI9" s="1325"/>
      <c r="HJ9" s="1325"/>
      <c r="HK9" s="1325"/>
      <c r="HL9" s="1325"/>
      <c r="HM9" s="1325"/>
      <c r="HN9" s="1325"/>
      <c r="HO9" s="1325"/>
      <c r="HP9" s="1325"/>
      <c r="HQ9" s="1325"/>
      <c r="HR9" s="1325"/>
      <c r="HS9" s="1325"/>
      <c r="HT9" s="1325"/>
      <c r="HU9" s="1325"/>
      <c r="HV9" s="1325"/>
      <c r="HW9" s="1325"/>
      <c r="HX9" s="1325"/>
      <c r="HY9" s="1325"/>
      <c r="HZ9" s="1325"/>
      <c r="IA9" s="1325"/>
      <c r="IB9" s="1325"/>
      <c r="IC9" s="1325"/>
      <c r="ID9" s="1325"/>
      <c r="IE9" s="1325"/>
      <c r="IF9" s="1325"/>
      <c r="IG9" s="1325"/>
      <c r="IH9" s="1325"/>
      <c r="II9" s="1325"/>
      <c r="IJ9" s="1325"/>
      <c r="IK9" s="1325"/>
      <c r="IL9" s="1325"/>
      <c r="IM9" s="1325"/>
      <c r="IN9" s="1325"/>
      <c r="IO9" s="1325"/>
      <c r="IP9" s="1325"/>
      <c r="IQ9" s="1325"/>
      <c r="IR9" s="1325"/>
      <c r="IS9" s="1325"/>
      <c r="IT9" s="1325"/>
      <c r="IU9" s="1325"/>
      <c r="IV9" s="1325"/>
    </row>
    <row r="10" spans="1:256" ht="48" customHeight="1">
      <c r="A10" s="1365" t="s">
        <v>776</v>
      </c>
      <c r="B10" s="1366" t="s">
        <v>777</v>
      </c>
      <c r="C10" s="1367">
        <v>298500</v>
      </c>
      <c r="D10" s="1367"/>
      <c r="E10" s="1325"/>
      <c r="F10" s="1325"/>
      <c r="G10" s="1325"/>
      <c r="H10" s="1325"/>
      <c r="I10" s="1325"/>
      <c r="J10" s="1325"/>
      <c r="K10" s="1325"/>
      <c r="L10" s="1325"/>
      <c r="M10" s="1325"/>
      <c r="N10" s="1325"/>
      <c r="O10" s="1325"/>
      <c r="P10" s="1325"/>
      <c r="Q10" s="1325"/>
      <c r="R10" s="1325"/>
      <c r="S10" s="1325"/>
      <c r="T10" s="1325"/>
      <c r="U10" s="1325"/>
      <c r="V10" s="1325"/>
      <c r="W10" s="1325"/>
      <c r="X10" s="1325"/>
      <c r="Y10" s="1325"/>
      <c r="Z10" s="1325"/>
      <c r="AA10" s="1325"/>
      <c r="AB10" s="1325"/>
      <c r="AC10" s="1325"/>
      <c r="AD10" s="1325"/>
      <c r="AE10" s="1325"/>
      <c r="AF10" s="1325"/>
      <c r="AG10" s="1325"/>
      <c r="AH10" s="1325"/>
      <c r="AI10" s="1325"/>
      <c r="AJ10" s="1325"/>
      <c r="AK10" s="1325"/>
      <c r="AL10" s="1325"/>
      <c r="AM10" s="1325"/>
      <c r="AN10" s="1325"/>
      <c r="AO10" s="1325"/>
      <c r="AP10" s="1325"/>
      <c r="AQ10" s="1325"/>
      <c r="AR10" s="1325"/>
      <c r="AS10" s="1325"/>
      <c r="AT10" s="1325"/>
      <c r="AU10" s="1325"/>
      <c r="AV10" s="1325"/>
      <c r="AW10" s="1325"/>
      <c r="AX10" s="1325"/>
      <c r="AY10" s="1325"/>
      <c r="AZ10" s="1325"/>
      <c r="BA10" s="1325"/>
      <c r="BB10" s="1325"/>
      <c r="BC10" s="1325"/>
      <c r="BD10" s="1325"/>
      <c r="BE10" s="1325"/>
      <c r="BF10" s="1325"/>
      <c r="BG10" s="1325"/>
      <c r="BH10" s="1325"/>
      <c r="BI10" s="1325"/>
      <c r="BJ10" s="1325"/>
      <c r="BK10" s="1325"/>
      <c r="BL10" s="1325"/>
      <c r="BM10" s="1325"/>
      <c r="BN10" s="1325"/>
      <c r="BO10" s="1325"/>
      <c r="BP10" s="1325"/>
      <c r="BQ10" s="1325"/>
      <c r="BR10" s="1325"/>
      <c r="BS10" s="1325"/>
      <c r="BT10" s="1325"/>
      <c r="BU10" s="1325"/>
      <c r="BV10" s="1325"/>
      <c r="BW10" s="1325"/>
      <c r="BX10" s="1325"/>
      <c r="BY10" s="1325"/>
      <c r="BZ10" s="1325"/>
      <c r="CA10" s="1325"/>
      <c r="CB10" s="1325"/>
      <c r="CC10" s="1325"/>
      <c r="CD10" s="1325"/>
      <c r="CE10" s="1325"/>
      <c r="CF10" s="1325"/>
      <c r="CG10" s="1325"/>
      <c r="CH10" s="1325"/>
      <c r="CI10" s="1325"/>
      <c r="CJ10" s="1325"/>
      <c r="CK10" s="1325"/>
      <c r="CL10" s="1325"/>
      <c r="CM10" s="1325"/>
      <c r="CN10" s="1325"/>
      <c r="CO10" s="1325"/>
      <c r="CP10" s="1325"/>
      <c r="CQ10" s="1325"/>
      <c r="CR10" s="1325"/>
      <c r="CS10" s="1325"/>
      <c r="CT10" s="1325"/>
      <c r="CU10" s="1325"/>
      <c r="CV10" s="1325"/>
      <c r="CW10" s="1325"/>
      <c r="CX10" s="1325"/>
      <c r="CY10" s="1325"/>
      <c r="CZ10" s="1325"/>
      <c r="DA10" s="1325"/>
      <c r="DB10" s="1325"/>
      <c r="DC10" s="1325"/>
      <c r="DD10" s="1325"/>
      <c r="DE10" s="1325"/>
      <c r="DF10" s="1325"/>
      <c r="DG10" s="1325"/>
      <c r="DH10" s="1325"/>
      <c r="DI10" s="1325"/>
      <c r="DJ10" s="1325"/>
      <c r="DK10" s="1325"/>
      <c r="DL10" s="1325"/>
      <c r="DM10" s="1325"/>
      <c r="DN10" s="1325"/>
      <c r="DO10" s="1325"/>
      <c r="DP10" s="1325"/>
      <c r="DQ10" s="1325"/>
      <c r="DR10" s="1325"/>
      <c r="DS10" s="1325"/>
      <c r="DT10" s="1325"/>
      <c r="DU10" s="1325"/>
      <c r="DV10" s="1325"/>
      <c r="DW10" s="1325"/>
      <c r="DX10" s="1325"/>
      <c r="DY10" s="1325"/>
      <c r="DZ10" s="1325"/>
      <c r="EA10" s="1325"/>
      <c r="EB10" s="1325"/>
      <c r="EC10" s="1325"/>
      <c r="ED10" s="1325"/>
      <c r="EE10" s="1325"/>
      <c r="EF10" s="1325"/>
      <c r="EG10" s="1325"/>
      <c r="EH10" s="1325"/>
      <c r="EI10" s="1325"/>
      <c r="EJ10" s="1325"/>
      <c r="EK10" s="1325"/>
      <c r="EL10" s="1325"/>
      <c r="EM10" s="1325"/>
      <c r="EN10" s="1325"/>
      <c r="EO10" s="1325"/>
      <c r="EP10" s="1325"/>
      <c r="EQ10" s="1325"/>
      <c r="ER10" s="1325"/>
      <c r="ES10" s="1325"/>
      <c r="ET10" s="1325"/>
      <c r="EU10" s="1325"/>
      <c r="EV10" s="1325"/>
      <c r="EW10" s="1325"/>
      <c r="EX10" s="1325"/>
      <c r="EY10" s="1325"/>
      <c r="EZ10" s="1325"/>
      <c r="FA10" s="1325"/>
      <c r="FB10" s="1325"/>
      <c r="FC10" s="1325"/>
      <c r="FD10" s="1325"/>
      <c r="FE10" s="1325"/>
      <c r="FF10" s="1325"/>
      <c r="FG10" s="1325"/>
      <c r="FH10" s="1325"/>
      <c r="FI10" s="1325"/>
      <c r="FJ10" s="1325"/>
      <c r="FK10" s="1325"/>
      <c r="FL10" s="1325"/>
      <c r="FM10" s="1325"/>
      <c r="FN10" s="1325"/>
      <c r="FO10" s="1325"/>
      <c r="FP10" s="1325"/>
      <c r="FQ10" s="1325"/>
      <c r="FR10" s="1325"/>
      <c r="FS10" s="1325"/>
      <c r="FT10" s="1325"/>
      <c r="FU10" s="1325"/>
      <c r="FV10" s="1325"/>
      <c r="FW10" s="1325"/>
      <c r="FX10" s="1325"/>
      <c r="FY10" s="1325"/>
      <c r="FZ10" s="1325"/>
      <c r="GA10" s="1325"/>
      <c r="GB10" s="1325"/>
      <c r="GC10" s="1325"/>
      <c r="GD10" s="1325"/>
      <c r="GE10" s="1325"/>
      <c r="GF10" s="1325"/>
      <c r="GG10" s="1325"/>
      <c r="GH10" s="1325"/>
      <c r="GI10" s="1325"/>
      <c r="GJ10" s="1325"/>
      <c r="GK10" s="1325"/>
      <c r="GL10" s="1325"/>
      <c r="GM10" s="1325"/>
      <c r="GN10" s="1325"/>
      <c r="GO10" s="1325"/>
      <c r="GP10" s="1325"/>
      <c r="GQ10" s="1325"/>
      <c r="GR10" s="1325"/>
      <c r="GS10" s="1325"/>
      <c r="GT10" s="1325"/>
      <c r="GU10" s="1325"/>
      <c r="GV10" s="1325"/>
      <c r="GW10" s="1325"/>
      <c r="GX10" s="1325"/>
      <c r="GY10" s="1325"/>
      <c r="GZ10" s="1325"/>
      <c r="HA10" s="1325"/>
      <c r="HB10" s="1325"/>
      <c r="HC10" s="1325"/>
      <c r="HD10" s="1325"/>
      <c r="HE10" s="1325"/>
      <c r="HF10" s="1325"/>
      <c r="HG10" s="1325"/>
      <c r="HH10" s="1325"/>
      <c r="HI10" s="1325"/>
      <c r="HJ10" s="1325"/>
      <c r="HK10" s="1325"/>
      <c r="HL10" s="1325"/>
      <c r="HM10" s="1325"/>
      <c r="HN10" s="1325"/>
      <c r="HO10" s="1325"/>
      <c r="HP10" s="1325"/>
      <c r="HQ10" s="1325"/>
      <c r="HR10" s="1325"/>
      <c r="HS10" s="1325"/>
      <c r="HT10" s="1325"/>
      <c r="HU10" s="1325"/>
      <c r="HV10" s="1325"/>
      <c r="HW10" s="1325"/>
      <c r="HX10" s="1325"/>
      <c r="HY10" s="1325"/>
      <c r="HZ10" s="1325"/>
      <c r="IA10" s="1325"/>
      <c r="IB10" s="1325"/>
      <c r="IC10" s="1325"/>
      <c r="ID10" s="1325"/>
      <c r="IE10" s="1325"/>
      <c r="IF10" s="1325"/>
      <c r="IG10" s="1325"/>
      <c r="IH10" s="1325"/>
      <c r="II10" s="1325"/>
      <c r="IJ10" s="1325"/>
      <c r="IK10" s="1325"/>
      <c r="IL10" s="1325"/>
      <c r="IM10" s="1325"/>
      <c r="IN10" s="1325"/>
      <c r="IO10" s="1325"/>
      <c r="IP10" s="1325"/>
      <c r="IQ10" s="1325"/>
      <c r="IR10" s="1325"/>
      <c r="IS10" s="1325"/>
      <c r="IT10" s="1325"/>
      <c r="IU10" s="1325"/>
      <c r="IV10" s="1325"/>
    </row>
    <row r="11" spans="1:256" ht="48" customHeight="1">
      <c r="A11" s="1365" t="s">
        <v>778</v>
      </c>
      <c r="B11" s="1366" t="s">
        <v>779</v>
      </c>
      <c r="C11" s="1367">
        <v>247025</v>
      </c>
      <c r="D11" s="1367"/>
      <c r="E11" s="1325"/>
      <c r="F11" s="1325"/>
      <c r="G11" s="1325"/>
      <c r="H11" s="1325"/>
      <c r="I11" s="1325"/>
      <c r="J11" s="1325"/>
      <c r="K11" s="1325"/>
      <c r="L11" s="1325"/>
      <c r="M11" s="1325"/>
      <c r="N11" s="1325"/>
      <c r="O11" s="1325"/>
      <c r="P11" s="1325"/>
      <c r="Q11" s="1325"/>
      <c r="R11" s="1325"/>
      <c r="S11" s="1325"/>
      <c r="T11" s="1325"/>
      <c r="U11" s="1325"/>
      <c r="V11" s="1325"/>
      <c r="W11" s="1325"/>
      <c r="X11" s="1325"/>
      <c r="Y11" s="1325"/>
      <c r="Z11" s="1325"/>
      <c r="AA11" s="1325"/>
      <c r="AB11" s="1325"/>
      <c r="AC11" s="1325"/>
      <c r="AD11" s="1325"/>
      <c r="AE11" s="1325"/>
      <c r="AF11" s="1325"/>
      <c r="AG11" s="1325"/>
      <c r="AH11" s="1325"/>
      <c r="AI11" s="1325"/>
      <c r="AJ11" s="1325"/>
      <c r="AK11" s="1325"/>
      <c r="AL11" s="1325"/>
      <c r="AM11" s="1325"/>
      <c r="AN11" s="1325"/>
      <c r="AO11" s="1325"/>
      <c r="AP11" s="1325"/>
      <c r="AQ11" s="1325"/>
      <c r="AR11" s="1325"/>
      <c r="AS11" s="1325"/>
      <c r="AT11" s="1325"/>
      <c r="AU11" s="1325"/>
      <c r="AV11" s="1325"/>
      <c r="AW11" s="1325"/>
      <c r="AX11" s="1325"/>
      <c r="AY11" s="1325"/>
      <c r="AZ11" s="1325"/>
      <c r="BA11" s="1325"/>
      <c r="BB11" s="1325"/>
      <c r="BC11" s="1325"/>
      <c r="BD11" s="1325"/>
      <c r="BE11" s="1325"/>
      <c r="BF11" s="1325"/>
      <c r="BG11" s="1325"/>
      <c r="BH11" s="1325"/>
      <c r="BI11" s="1325"/>
      <c r="BJ11" s="1325"/>
      <c r="BK11" s="1325"/>
      <c r="BL11" s="1325"/>
      <c r="BM11" s="1325"/>
      <c r="BN11" s="1325"/>
      <c r="BO11" s="1325"/>
      <c r="BP11" s="1325"/>
      <c r="BQ11" s="1325"/>
      <c r="BR11" s="1325"/>
      <c r="BS11" s="1325"/>
      <c r="BT11" s="1325"/>
      <c r="BU11" s="1325"/>
      <c r="BV11" s="1325"/>
      <c r="BW11" s="1325"/>
      <c r="BX11" s="1325"/>
      <c r="BY11" s="1325"/>
      <c r="BZ11" s="1325"/>
      <c r="CA11" s="1325"/>
      <c r="CB11" s="1325"/>
      <c r="CC11" s="1325"/>
      <c r="CD11" s="1325"/>
      <c r="CE11" s="1325"/>
      <c r="CF11" s="1325"/>
      <c r="CG11" s="1325"/>
      <c r="CH11" s="1325"/>
      <c r="CI11" s="1325"/>
      <c r="CJ11" s="1325"/>
      <c r="CK11" s="1325"/>
      <c r="CL11" s="1325"/>
      <c r="CM11" s="1325"/>
      <c r="CN11" s="1325"/>
      <c r="CO11" s="1325"/>
      <c r="CP11" s="1325"/>
      <c r="CQ11" s="1325"/>
      <c r="CR11" s="1325"/>
      <c r="CS11" s="1325"/>
      <c r="CT11" s="1325"/>
      <c r="CU11" s="1325"/>
      <c r="CV11" s="1325"/>
      <c r="CW11" s="1325"/>
      <c r="CX11" s="1325"/>
      <c r="CY11" s="1325"/>
      <c r="CZ11" s="1325"/>
      <c r="DA11" s="1325"/>
      <c r="DB11" s="1325"/>
      <c r="DC11" s="1325"/>
      <c r="DD11" s="1325"/>
      <c r="DE11" s="1325"/>
      <c r="DF11" s="1325"/>
      <c r="DG11" s="1325"/>
      <c r="DH11" s="1325"/>
      <c r="DI11" s="1325"/>
      <c r="DJ11" s="1325"/>
      <c r="DK11" s="1325"/>
      <c r="DL11" s="1325"/>
      <c r="DM11" s="1325"/>
      <c r="DN11" s="1325"/>
      <c r="DO11" s="1325"/>
      <c r="DP11" s="1325"/>
      <c r="DQ11" s="1325"/>
      <c r="DR11" s="1325"/>
      <c r="DS11" s="1325"/>
      <c r="DT11" s="1325"/>
      <c r="DU11" s="1325"/>
      <c r="DV11" s="1325"/>
      <c r="DW11" s="1325"/>
      <c r="DX11" s="1325"/>
      <c r="DY11" s="1325"/>
      <c r="DZ11" s="1325"/>
      <c r="EA11" s="1325"/>
      <c r="EB11" s="1325"/>
      <c r="EC11" s="1325"/>
      <c r="ED11" s="1325"/>
      <c r="EE11" s="1325"/>
      <c r="EF11" s="1325"/>
      <c r="EG11" s="1325"/>
      <c r="EH11" s="1325"/>
      <c r="EI11" s="1325"/>
      <c r="EJ11" s="1325"/>
      <c r="EK11" s="1325"/>
      <c r="EL11" s="1325"/>
      <c r="EM11" s="1325"/>
      <c r="EN11" s="1325"/>
      <c r="EO11" s="1325"/>
      <c r="EP11" s="1325"/>
      <c r="EQ11" s="1325"/>
      <c r="ER11" s="1325"/>
      <c r="ES11" s="1325"/>
      <c r="ET11" s="1325"/>
      <c r="EU11" s="1325"/>
      <c r="EV11" s="1325"/>
      <c r="EW11" s="1325"/>
      <c r="EX11" s="1325"/>
      <c r="EY11" s="1325"/>
      <c r="EZ11" s="1325"/>
      <c r="FA11" s="1325"/>
      <c r="FB11" s="1325"/>
      <c r="FC11" s="1325"/>
      <c r="FD11" s="1325"/>
      <c r="FE11" s="1325"/>
      <c r="FF11" s="1325"/>
      <c r="FG11" s="1325"/>
      <c r="FH11" s="1325"/>
      <c r="FI11" s="1325"/>
      <c r="FJ11" s="1325"/>
      <c r="FK11" s="1325"/>
      <c r="FL11" s="1325"/>
      <c r="FM11" s="1325"/>
      <c r="FN11" s="1325"/>
      <c r="FO11" s="1325"/>
      <c r="FP11" s="1325"/>
      <c r="FQ11" s="1325"/>
      <c r="FR11" s="1325"/>
      <c r="FS11" s="1325"/>
      <c r="FT11" s="1325"/>
      <c r="FU11" s="1325"/>
      <c r="FV11" s="1325"/>
      <c r="FW11" s="1325"/>
      <c r="FX11" s="1325"/>
      <c r="FY11" s="1325"/>
      <c r="FZ11" s="1325"/>
      <c r="GA11" s="1325"/>
      <c r="GB11" s="1325"/>
      <c r="GC11" s="1325"/>
      <c r="GD11" s="1325"/>
      <c r="GE11" s="1325"/>
      <c r="GF11" s="1325"/>
      <c r="GG11" s="1325"/>
      <c r="GH11" s="1325"/>
      <c r="GI11" s="1325"/>
      <c r="GJ11" s="1325"/>
      <c r="GK11" s="1325"/>
      <c r="GL11" s="1325"/>
      <c r="GM11" s="1325"/>
      <c r="GN11" s="1325"/>
      <c r="GO11" s="1325"/>
      <c r="GP11" s="1325"/>
      <c r="GQ11" s="1325"/>
      <c r="GR11" s="1325"/>
      <c r="GS11" s="1325"/>
      <c r="GT11" s="1325"/>
      <c r="GU11" s="1325"/>
      <c r="GV11" s="1325"/>
      <c r="GW11" s="1325"/>
      <c r="GX11" s="1325"/>
      <c r="GY11" s="1325"/>
      <c r="GZ11" s="1325"/>
      <c r="HA11" s="1325"/>
      <c r="HB11" s="1325"/>
      <c r="HC11" s="1325"/>
      <c r="HD11" s="1325"/>
      <c r="HE11" s="1325"/>
      <c r="HF11" s="1325"/>
      <c r="HG11" s="1325"/>
      <c r="HH11" s="1325"/>
      <c r="HI11" s="1325"/>
      <c r="HJ11" s="1325"/>
      <c r="HK11" s="1325"/>
      <c r="HL11" s="1325"/>
      <c r="HM11" s="1325"/>
      <c r="HN11" s="1325"/>
      <c r="HO11" s="1325"/>
      <c r="HP11" s="1325"/>
      <c r="HQ11" s="1325"/>
      <c r="HR11" s="1325"/>
      <c r="HS11" s="1325"/>
      <c r="HT11" s="1325"/>
      <c r="HU11" s="1325"/>
      <c r="HV11" s="1325"/>
      <c r="HW11" s="1325"/>
      <c r="HX11" s="1325"/>
      <c r="HY11" s="1325"/>
      <c r="HZ11" s="1325"/>
      <c r="IA11" s="1325"/>
      <c r="IB11" s="1325"/>
      <c r="IC11" s="1325"/>
      <c r="ID11" s="1325"/>
      <c r="IE11" s="1325"/>
      <c r="IF11" s="1325"/>
      <c r="IG11" s="1325"/>
      <c r="IH11" s="1325"/>
      <c r="II11" s="1325"/>
      <c r="IJ11" s="1325"/>
      <c r="IK11" s="1325"/>
      <c r="IL11" s="1325"/>
      <c r="IM11" s="1325"/>
      <c r="IN11" s="1325"/>
      <c r="IO11" s="1325"/>
      <c r="IP11" s="1325"/>
      <c r="IQ11" s="1325"/>
      <c r="IR11" s="1325"/>
      <c r="IS11" s="1325"/>
      <c r="IT11" s="1325"/>
      <c r="IU11" s="1325"/>
      <c r="IV11" s="1325"/>
    </row>
    <row r="12" spans="1:256" ht="48" customHeight="1">
      <c r="A12" s="1368" t="s">
        <v>780</v>
      </c>
      <c r="B12" s="1369" t="s">
        <v>781</v>
      </c>
      <c r="C12" s="1370">
        <f>SUM(C13+C18+C23+C28+C33)</f>
        <v>37866862</v>
      </c>
      <c r="D12" s="1370">
        <f>SUM(D13+D18+D23+D28+D33)</f>
        <v>1376785</v>
      </c>
      <c r="E12" s="1325"/>
      <c r="F12" s="1325"/>
      <c r="G12" s="1325"/>
      <c r="H12" s="1325"/>
      <c r="I12" s="1325"/>
      <c r="J12" s="1325"/>
      <c r="K12" s="1325"/>
      <c r="L12" s="1325"/>
      <c r="M12" s="1325"/>
      <c r="N12" s="1325"/>
      <c r="O12" s="1325"/>
      <c r="P12" s="1325"/>
      <c r="Q12" s="1325"/>
      <c r="R12" s="1325"/>
      <c r="S12" s="1325"/>
      <c r="T12" s="1325"/>
      <c r="U12" s="1325"/>
      <c r="V12" s="1325"/>
      <c r="W12" s="1325"/>
      <c r="X12" s="1325"/>
      <c r="Y12" s="1325"/>
      <c r="Z12" s="1325"/>
      <c r="AA12" s="1325"/>
      <c r="AB12" s="1325"/>
      <c r="AC12" s="1325"/>
      <c r="AD12" s="1325"/>
      <c r="AE12" s="1325"/>
      <c r="AF12" s="1325"/>
      <c r="AG12" s="1325"/>
      <c r="AH12" s="1325"/>
      <c r="AI12" s="1325"/>
      <c r="AJ12" s="1325"/>
      <c r="AK12" s="1325"/>
      <c r="AL12" s="1325"/>
      <c r="AM12" s="1325"/>
      <c r="AN12" s="1325"/>
      <c r="AO12" s="1325"/>
      <c r="AP12" s="1325"/>
      <c r="AQ12" s="1325"/>
      <c r="AR12" s="1325"/>
      <c r="AS12" s="1325"/>
      <c r="AT12" s="1325"/>
      <c r="AU12" s="1325"/>
      <c r="AV12" s="1325"/>
      <c r="AW12" s="1325"/>
      <c r="AX12" s="1325"/>
      <c r="AY12" s="1325"/>
      <c r="AZ12" s="1325"/>
      <c r="BA12" s="1325"/>
      <c r="BB12" s="1325"/>
      <c r="BC12" s="1325"/>
      <c r="BD12" s="1325"/>
      <c r="BE12" s="1325"/>
      <c r="BF12" s="1325"/>
      <c r="BG12" s="1325"/>
      <c r="BH12" s="1325"/>
      <c r="BI12" s="1325"/>
      <c r="BJ12" s="1325"/>
      <c r="BK12" s="1325"/>
      <c r="BL12" s="1325"/>
      <c r="BM12" s="1325"/>
      <c r="BN12" s="1325"/>
      <c r="BO12" s="1325"/>
      <c r="BP12" s="1325"/>
      <c r="BQ12" s="1325"/>
      <c r="BR12" s="1325"/>
      <c r="BS12" s="1325"/>
      <c r="BT12" s="1325"/>
      <c r="BU12" s="1325"/>
      <c r="BV12" s="1325"/>
      <c r="BW12" s="1325"/>
      <c r="BX12" s="1325"/>
      <c r="BY12" s="1325"/>
      <c r="BZ12" s="1325"/>
      <c r="CA12" s="1325"/>
      <c r="CB12" s="1325"/>
      <c r="CC12" s="1325"/>
      <c r="CD12" s="1325"/>
      <c r="CE12" s="1325"/>
      <c r="CF12" s="1325"/>
      <c r="CG12" s="1325"/>
      <c r="CH12" s="1325"/>
      <c r="CI12" s="1325"/>
      <c r="CJ12" s="1325"/>
      <c r="CK12" s="1325"/>
      <c r="CL12" s="1325"/>
      <c r="CM12" s="1325"/>
      <c r="CN12" s="1325"/>
      <c r="CO12" s="1325"/>
      <c r="CP12" s="1325"/>
      <c r="CQ12" s="1325"/>
      <c r="CR12" s="1325"/>
      <c r="CS12" s="1325"/>
      <c r="CT12" s="1325"/>
      <c r="CU12" s="1325"/>
      <c r="CV12" s="1325"/>
      <c r="CW12" s="1325"/>
      <c r="CX12" s="1325"/>
      <c r="CY12" s="1325"/>
      <c r="CZ12" s="1325"/>
      <c r="DA12" s="1325"/>
      <c r="DB12" s="1325"/>
      <c r="DC12" s="1325"/>
      <c r="DD12" s="1325"/>
      <c r="DE12" s="1325"/>
      <c r="DF12" s="1325"/>
      <c r="DG12" s="1325"/>
      <c r="DH12" s="1325"/>
      <c r="DI12" s="1325"/>
      <c r="DJ12" s="1325"/>
      <c r="DK12" s="1325"/>
      <c r="DL12" s="1325"/>
      <c r="DM12" s="1325"/>
      <c r="DN12" s="1325"/>
      <c r="DO12" s="1325"/>
      <c r="DP12" s="1325"/>
      <c r="DQ12" s="1325"/>
      <c r="DR12" s="1325"/>
      <c r="DS12" s="1325"/>
      <c r="DT12" s="1325"/>
      <c r="DU12" s="1325"/>
      <c r="DV12" s="1325"/>
      <c r="DW12" s="1325"/>
      <c r="DX12" s="1325"/>
      <c r="DY12" s="1325"/>
      <c r="DZ12" s="1325"/>
      <c r="EA12" s="1325"/>
      <c r="EB12" s="1325"/>
      <c r="EC12" s="1325"/>
      <c r="ED12" s="1325"/>
      <c r="EE12" s="1325"/>
      <c r="EF12" s="1325"/>
      <c r="EG12" s="1325"/>
      <c r="EH12" s="1325"/>
      <c r="EI12" s="1325"/>
      <c r="EJ12" s="1325"/>
      <c r="EK12" s="1325"/>
      <c r="EL12" s="1325"/>
      <c r="EM12" s="1325"/>
      <c r="EN12" s="1325"/>
      <c r="EO12" s="1325"/>
      <c r="EP12" s="1325"/>
      <c r="EQ12" s="1325"/>
      <c r="ER12" s="1325"/>
      <c r="ES12" s="1325"/>
      <c r="ET12" s="1325"/>
      <c r="EU12" s="1325"/>
      <c r="EV12" s="1325"/>
      <c r="EW12" s="1325"/>
      <c r="EX12" s="1325"/>
      <c r="EY12" s="1325"/>
      <c r="EZ12" s="1325"/>
      <c r="FA12" s="1325"/>
      <c r="FB12" s="1325"/>
      <c r="FC12" s="1325"/>
      <c r="FD12" s="1325"/>
      <c r="FE12" s="1325"/>
      <c r="FF12" s="1325"/>
      <c r="FG12" s="1325"/>
      <c r="FH12" s="1325"/>
      <c r="FI12" s="1325"/>
      <c r="FJ12" s="1325"/>
      <c r="FK12" s="1325"/>
      <c r="FL12" s="1325"/>
      <c r="FM12" s="1325"/>
      <c r="FN12" s="1325"/>
      <c r="FO12" s="1325"/>
      <c r="FP12" s="1325"/>
      <c r="FQ12" s="1325"/>
      <c r="FR12" s="1325"/>
      <c r="FS12" s="1325"/>
      <c r="FT12" s="1325"/>
      <c r="FU12" s="1325"/>
      <c r="FV12" s="1325"/>
      <c r="FW12" s="1325"/>
      <c r="FX12" s="1325"/>
      <c r="FY12" s="1325"/>
      <c r="FZ12" s="1325"/>
      <c r="GA12" s="1325"/>
      <c r="GB12" s="1325"/>
      <c r="GC12" s="1325"/>
      <c r="GD12" s="1325"/>
      <c r="GE12" s="1325"/>
      <c r="GF12" s="1325"/>
      <c r="GG12" s="1325"/>
      <c r="GH12" s="1325"/>
      <c r="GI12" s="1325"/>
      <c r="GJ12" s="1325"/>
      <c r="GK12" s="1325"/>
      <c r="GL12" s="1325"/>
      <c r="GM12" s="1325"/>
      <c r="GN12" s="1325"/>
      <c r="GO12" s="1325"/>
      <c r="GP12" s="1325"/>
      <c r="GQ12" s="1325"/>
      <c r="GR12" s="1325"/>
      <c r="GS12" s="1325"/>
      <c r="GT12" s="1325"/>
      <c r="GU12" s="1325"/>
      <c r="GV12" s="1325"/>
      <c r="GW12" s="1325"/>
      <c r="GX12" s="1325"/>
      <c r="GY12" s="1325"/>
      <c r="GZ12" s="1325"/>
      <c r="HA12" s="1325"/>
      <c r="HB12" s="1325"/>
      <c r="HC12" s="1325"/>
      <c r="HD12" s="1325"/>
      <c r="HE12" s="1325"/>
      <c r="HF12" s="1325"/>
      <c r="HG12" s="1325"/>
      <c r="HH12" s="1325"/>
      <c r="HI12" s="1325"/>
      <c r="HJ12" s="1325"/>
      <c r="HK12" s="1325"/>
      <c r="HL12" s="1325"/>
      <c r="HM12" s="1325"/>
      <c r="HN12" s="1325"/>
      <c r="HO12" s="1325"/>
      <c r="HP12" s="1325"/>
      <c r="HQ12" s="1325"/>
      <c r="HR12" s="1325"/>
      <c r="HS12" s="1325"/>
      <c r="HT12" s="1325"/>
      <c r="HU12" s="1325"/>
      <c r="HV12" s="1325"/>
      <c r="HW12" s="1325"/>
      <c r="HX12" s="1325"/>
      <c r="HY12" s="1325"/>
      <c r="HZ12" s="1325"/>
      <c r="IA12" s="1325"/>
      <c r="IB12" s="1325"/>
      <c r="IC12" s="1325"/>
      <c r="ID12" s="1325"/>
      <c r="IE12" s="1325"/>
      <c r="IF12" s="1325"/>
      <c r="IG12" s="1325"/>
      <c r="IH12" s="1325"/>
      <c r="II12" s="1325"/>
      <c r="IJ12" s="1325"/>
      <c r="IK12" s="1325"/>
      <c r="IL12" s="1325"/>
      <c r="IM12" s="1325"/>
      <c r="IN12" s="1325"/>
      <c r="IO12" s="1325"/>
      <c r="IP12" s="1325"/>
      <c r="IQ12" s="1325"/>
      <c r="IR12" s="1325"/>
      <c r="IS12" s="1325"/>
      <c r="IT12" s="1325"/>
      <c r="IU12" s="1325"/>
      <c r="IV12" s="1325"/>
    </row>
    <row r="13" spans="1:256" ht="48" customHeight="1">
      <c r="A13" s="1368" t="s">
        <v>782</v>
      </c>
      <c r="B13" s="1369" t="s">
        <v>783</v>
      </c>
      <c r="C13" s="1370">
        <f>SUM(C14:C17)</f>
        <v>0</v>
      </c>
      <c r="D13" s="1370">
        <f>SUM(D14:D17)</f>
        <v>0</v>
      </c>
      <c r="E13" s="1325"/>
      <c r="F13" s="1325"/>
      <c r="G13" s="1325"/>
      <c r="H13" s="1325"/>
      <c r="I13" s="1325"/>
      <c r="J13" s="1325"/>
      <c r="K13" s="1325"/>
      <c r="L13" s="1325"/>
      <c r="M13" s="1325"/>
      <c r="N13" s="1325"/>
      <c r="O13" s="1325"/>
      <c r="P13" s="1325"/>
      <c r="Q13" s="1325"/>
      <c r="R13" s="1325"/>
      <c r="S13" s="1325"/>
      <c r="T13" s="1325"/>
      <c r="U13" s="1325"/>
      <c r="V13" s="1325"/>
      <c r="W13" s="1325"/>
      <c r="X13" s="1325"/>
      <c r="Y13" s="1325"/>
      <c r="Z13" s="1325"/>
      <c r="AA13" s="1325"/>
      <c r="AB13" s="1325"/>
      <c r="AC13" s="1325"/>
      <c r="AD13" s="1325"/>
      <c r="AE13" s="1325"/>
      <c r="AF13" s="1325"/>
      <c r="AG13" s="1325"/>
      <c r="AH13" s="1325"/>
      <c r="AI13" s="1325"/>
      <c r="AJ13" s="1325"/>
      <c r="AK13" s="1325"/>
      <c r="AL13" s="1325"/>
      <c r="AM13" s="1325"/>
      <c r="AN13" s="1325"/>
      <c r="AO13" s="1325"/>
      <c r="AP13" s="1325"/>
      <c r="AQ13" s="1325"/>
      <c r="AR13" s="1325"/>
      <c r="AS13" s="1325"/>
      <c r="AT13" s="1325"/>
      <c r="AU13" s="1325"/>
      <c r="AV13" s="1325"/>
      <c r="AW13" s="1325"/>
      <c r="AX13" s="1325"/>
      <c r="AY13" s="1325"/>
      <c r="AZ13" s="1325"/>
      <c r="BA13" s="1325"/>
      <c r="BB13" s="1325"/>
      <c r="BC13" s="1325"/>
      <c r="BD13" s="1325"/>
      <c r="BE13" s="1325"/>
      <c r="BF13" s="1325"/>
      <c r="BG13" s="1325"/>
      <c r="BH13" s="1325"/>
      <c r="BI13" s="1325"/>
      <c r="BJ13" s="1325"/>
      <c r="BK13" s="1325"/>
      <c r="BL13" s="1325"/>
      <c r="BM13" s="1325"/>
      <c r="BN13" s="1325"/>
      <c r="BO13" s="1325"/>
      <c r="BP13" s="1325"/>
      <c r="BQ13" s="1325"/>
      <c r="BR13" s="1325"/>
      <c r="BS13" s="1325"/>
      <c r="BT13" s="1325"/>
      <c r="BU13" s="1325"/>
      <c r="BV13" s="1325"/>
      <c r="BW13" s="1325"/>
      <c r="BX13" s="1325"/>
      <c r="BY13" s="1325"/>
      <c r="BZ13" s="1325"/>
      <c r="CA13" s="1325"/>
      <c r="CB13" s="1325"/>
      <c r="CC13" s="1325"/>
      <c r="CD13" s="1325"/>
      <c r="CE13" s="1325"/>
      <c r="CF13" s="1325"/>
      <c r="CG13" s="1325"/>
      <c r="CH13" s="1325"/>
      <c r="CI13" s="1325"/>
      <c r="CJ13" s="1325"/>
      <c r="CK13" s="1325"/>
      <c r="CL13" s="1325"/>
      <c r="CM13" s="1325"/>
      <c r="CN13" s="1325"/>
      <c r="CO13" s="1325"/>
      <c r="CP13" s="1325"/>
      <c r="CQ13" s="1325"/>
      <c r="CR13" s="1325"/>
      <c r="CS13" s="1325"/>
      <c r="CT13" s="1325"/>
      <c r="CU13" s="1325"/>
      <c r="CV13" s="1325"/>
      <c r="CW13" s="1325"/>
      <c r="CX13" s="1325"/>
      <c r="CY13" s="1325"/>
      <c r="CZ13" s="1325"/>
      <c r="DA13" s="1325"/>
      <c r="DB13" s="1325"/>
      <c r="DC13" s="1325"/>
      <c r="DD13" s="1325"/>
      <c r="DE13" s="1325"/>
      <c r="DF13" s="1325"/>
      <c r="DG13" s="1325"/>
      <c r="DH13" s="1325"/>
      <c r="DI13" s="1325"/>
      <c r="DJ13" s="1325"/>
      <c r="DK13" s="1325"/>
      <c r="DL13" s="1325"/>
      <c r="DM13" s="1325"/>
      <c r="DN13" s="1325"/>
      <c r="DO13" s="1325"/>
      <c r="DP13" s="1325"/>
      <c r="DQ13" s="1325"/>
      <c r="DR13" s="1325"/>
      <c r="DS13" s="1325"/>
      <c r="DT13" s="1325"/>
      <c r="DU13" s="1325"/>
      <c r="DV13" s="1325"/>
      <c r="DW13" s="1325"/>
      <c r="DX13" s="1325"/>
      <c r="DY13" s="1325"/>
      <c r="DZ13" s="1325"/>
      <c r="EA13" s="1325"/>
      <c r="EB13" s="1325"/>
      <c r="EC13" s="1325"/>
      <c r="ED13" s="1325"/>
      <c r="EE13" s="1325"/>
      <c r="EF13" s="1325"/>
      <c r="EG13" s="1325"/>
      <c r="EH13" s="1325"/>
      <c r="EI13" s="1325"/>
      <c r="EJ13" s="1325"/>
      <c r="EK13" s="1325"/>
      <c r="EL13" s="1325"/>
      <c r="EM13" s="1325"/>
      <c r="EN13" s="1325"/>
      <c r="EO13" s="1325"/>
      <c r="EP13" s="1325"/>
      <c r="EQ13" s="1325"/>
      <c r="ER13" s="1325"/>
      <c r="ES13" s="1325"/>
      <c r="ET13" s="1325"/>
      <c r="EU13" s="1325"/>
      <c r="EV13" s="1325"/>
      <c r="EW13" s="1325"/>
      <c r="EX13" s="1325"/>
      <c r="EY13" s="1325"/>
      <c r="EZ13" s="1325"/>
      <c r="FA13" s="1325"/>
      <c r="FB13" s="1325"/>
      <c r="FC13" s="1325"/>
      <c r="FD13" s="1325"/>
      <c r="FE13" s="1325"/>
      <c r="FF13" s="1325"/>
      <c r="FG13" s="1325"/>
      <c r="FH13" s="1325"/>
      <c r="FI13" s="1325"/>
      <c r="FJ13" s="1325"/>
      <c r="FK13" s="1325"/>
      <c r="FL13" s="1325"/>
      <c r="FM13" s="1325"/>
      <c r="FN13" s="1325"/>
      <c r="FO13" s="1325"/>
      <c r="FP13" s="1325"/>
      <c r="FQ13" s="1325"/>
      <c r="FR13" s="1325"/>
      <c r="FS13" s="1325"/>
      <c r="FT13" s="1325"/>
      <c r="FU13" s="1325"/>
      <c r="FV13" s="1325"/>
      <c r="FW13" s="1325"/>
      <c r="FX13" s="1325"/>
      <c r="FY13" s="1325"/>
      <c r="FZ13" s="1325"/>
      <c r="GA13" s="1325"/>
      <c r="GB13" s="1325"/>
      <c r="GC13" s="1325"/>
      <c r="GD13" s="1325"/>
      <c r="GE13" s="1325"/>
      <c r="GF13" s="1325"/>
      <c r="GG13" s="1325"/>
      <c r="GH13" s="1325"/>
      <c r="GI13" s="1325"/>
      <c r="GJ13" s="1325"/>
      <c r="GK13" s="1325"/>
      <c r="GL13" s="1325"/>
      <c r="GM13" s="1325"/>
      <c r="GN13" s="1325"/>
      <c r="GO13" s="1325"/>
      <c r="GP13" s="1325"/>
      <c r="GQ13" s="1325"/>
      <c r="GR13" s="1325"/>
      <c r="GS13" s="1325"/>
      <c r="GT13" s="1325"/>
      <c r="GU13" s="1325"/>
      <c r="GV13" s="1325"/>
      <c r="GW13" s="1325"/>
      <c r="GX13" s="1325"/>
      <c r="GY13" s="1325"/>
      <c r="GZ13" s="1325"/>
      <c r="HA13" s="1325"/>
      <c r="HB13" s="1325"/>
      <c r="HC13" s="1325"/>
      <c r="HD13" s="1325"/>
      <c r="HE13" s="1325"/>
      <c r="HF13" s="1325"/>
      <c r="HG13" s="1325"/>
      <c r="HH13" s="1325"/>
      <c r="HI13" s="1325"/>
      <c r="HJ13" s="1325"/>
      <c r="HK13" s="1325"/>
      <c r="HL13" s="1325"/>
      <c r="HM13" s="1325"/>
      <c r="HN13" s="1325"/>
      <c r="HO13" s="1325"/>
      <c r="HP13" s="1325"/>
      <c r="HQ13" s="1325"/>
      <c r="HR13" s="1325"/>
      <c r="HS13" s="1325"/>
      <c r="HT13" s="1325"/>
      <c r="HU13" s="1325"/>
      <c r="HV13" s="1325"/>
      <c r="HW13" s="1325"/>
      <c r="HX13" s="1325"/>
      <c r="HY13" s="1325"/>
      <c r="HZ13" s="1325"/>
      <c r="IA13" s="1325"/>
      <c r="IB13" s="1325"/>
      <c r="IC13" s="1325"/>
      <c r="ID13" s="1325"/>
      <c r="IE13" s="1325"/>
      <c r="IF13" s="1325"/>
      <c r="IG13" s="1325"/>
      <c r="IH13" s="1325"/>
      <c r="II13" s="1325"/>
      <c r="IJ13" s="1325"/>
      <c r="IK13" s="1325"/>
      <c r="IL13" s="1325"/>
      <c r="IM13" s="1325"/>
      <c r="IN13" s="1325"/>
      <c r="IO13" s="1325"/>
      <c r="IP13" s="1325"/>
      <c r="IQ13" s="1325"/>
      <c r="IR13" s="1325"/>
      <c r="IS13" s="1325"/>
      <c r="IT13" s="1325"/>
      <c r="IU13" s="1325"/>
      <c r="IV13" s="1325"/>
    </row>
    <row r="14" spans="1:256" ht="48" customHeight="1">
      <c r="A14" s="1365" t="s">
        <v>784</v>
      </c>
      <c r="B14" s="1366" t="s">
        <v>785</v>
      </c>
      <c r="C14" s="1367"/>
      <c r="D14" s="1367"/>
      <c r="E14" s="1325"/>
      <c r="F14" s="1325"/>
      <c r="G14" s="1325"/>
      <c r="H14" s="1325"/>
      <c r="I14" s="1325"/>
      <c r="J14" s="1325"/>
      <c r="K14" s="1325"/>
      <c r="L14" s="1325"/>
      <c r="M14" s="1325"/>
      <c r="N14" s="1325"/>
      <c r="O14" s="1325"/>
      <c r="P14" s="1325"/>
      <c r="Q14" s="1325"/>
      <c r="R14" s="1325"/>
      <c r="S14" s="1325"/>
      <c r="T14" s="1325"/>
      <c r="U14" s="1325"/>
      <c r="V14" s="1325"/>
      <c r="W14" s="1325"/>
      <c r="X14" s="1325"/>
      <c r="Y14" s="1325"/>
      <c r="Z14" s="1325"/>
      <c r="AA14" s="1325"/>
      <c r="AB14" s="1325"/>
      <c r="AC14" s="1325"/>
      <c r="AD14" s="1325"/>
      <c r="AE14" s="1325"/>
      <c r="AF14" s="1325"/>
      <c r="AG14" s="1325"/>
      <c r="AH14" s="1325"/>
      <c r="AI14" s="1325"/>
      <c r="AJ14" s="1325"/>
      <c r="AK14" s="1325"/>
      <c r="AL14" s="1325"/>
      <c r="AM14" s="1325"/>
      <c r="AN14" s="1325"/>
      <c r="AO14" s="1325"/>
      <c r="AP14" s="1325"/>
      <c r="AQ14" s="1325"/>
      <c r="AR14" s="1325"/>
      <c r="AS14" s="1325"/>
      <c r="AT14" s="1325"/>
      <c r="AU14" s="1325"/>
      <c r="AV14" s="1325"/>
      <c r="AW14" s="1325"/>
      <c r="AX14" s="1325"/>
      <c r="AY14" s="1325"/>
      <c r="AZ14" s="1325"/>
      <c r="BA14" s="1325"/>
      <c r="BB14" s="1325"/>
      <c r="BC14" s="1325"/>
      <c r="BD14" s="1325"/>
      <c r="BE14" s="1325"/>
      <c r="BF14" s="1325"/>
      <c r="BG14" s="1325"/>
      <c r="BH14" s="1325"/>
      <c r="BI14" s="1325"/>
      <c r="BJ14" s="1325"/>
      <c r="BK14" s="1325"/>
      <c r="BL14" s="1325"/>
      <c r="BM14" s="1325"/>
      <c r="BN14" s="1325"/>
      <c r="BO14" s="1325"/>
      <c r="BP14" s="1325"/>
      <c r="BQ14" s="1325"/>
      <c r="BR14" s="1325"/>
      <c r="BS14" s="1325"/>
      <c r="BT14" s="1325"/>
      <c r="BU14" s="1325"/>
      <c r="BV14" s="1325"/>
      <c r="BW14" s="1325"/>
      <c r="BX14" s="1325"/>
      <c r="BY14" s="1325"/>
      <c r="BZ14" s="1325"/>
      <c r="CA14" s="1325"/>
      <c r="CB14" s="1325"/>
      <c r="CC14" s="1325"/>
      <c r="CD14" s="1325"/>
      <c r="CE14" s="1325"/>
      <c r="CF14" s="1325"/>
      <c r="CG14" s="1325"/>
      <c r="CH14" s="1325"/>
      <c r="CI14" s="1325"/>
      <c r="CJ14" s="1325"/>
      <c r="CK14" s="1325"/>
      <c r="CL14" s="1325"/>
      <c r="CM14" s="1325"/>
      <c r="CN14" s="1325"/>
      <c r="CO14" s="1325"/>
      <c r="CP14" s="1325"/>
      <c r="CQ14" s="1325"/>
      <c r="CR14" s="1325"/>
      <c r="CS14" s="1325"/>
      <c r="CT14" s="1325"/>
      <c r="CU14" s="1325"/>
      <c r="CV14" s="1325"/>
      <c r="CW14" s="1325"/>
      <c r="CX14" s="1325"/>
      <c r="CY14" s="1325"/>
      <c r="CZ14" s="1325"/>
      <c r="DA14" s="1325"/>
      <c r="DB14" s="1325"/>
      <c r="DC14" s="1325"/>
      <c r="DD14" s="1325"/>
      <c r="DE14" s="1325"/>
      <c r="DF14" s="1325"/>
      <c r="DG14" s="1325"/>
      <c r="DH14" s="1325"/>
      <c r="DI14" s="1325"/>
      <c r="DJ14" s="1325"/>
      <c r="DK14" s="1325"/>
      <c r="DL14" s="1325"/>
      <c r="DM14" s="1325"/>
      <c r="DN14" s="1325"/>
      <c r="DO14" s="1325"/>
      <c r="DP14" s="1325"/>
      <c r="DQ14" s="1325"/>
      <c r="DR14" s="1325"/>
      <c r="DS14" s="1325"/>
      <c r="DT14" s="1325"/>
      <c r="DU14" s="1325"/>
      <c r="DV14" s="1325"/>
      <c r="DW14" s="1325"/>
      <c r="DX14" s="1325"/>
      <c r="DY14" s="1325"/>
      <c r="DZ14" s="1325"/>
      <c r="EA14" s="1325"/>
      <c r="EB14" s="1325"/>
      <c r="EC14" s="1325"/>
      <c r="ED14" s="1325"/>
      <c r="EE14" s="1325"/>
      <c r="EF14" s="1325"/>
      <c r="EG14" s="1325"/>
      <c r="EH14" s="1325"/>
      <c r="EI14" s="1325"/>
      <c r="EJ14" s="1325"/>
      <c r="EK14" s="1325"/>
      <c r="EL14" s="1325"/>
      <c r="EM14" s="1325"/>
      <c r="EN14" s="1325"/>
      <c r="EO14" s="1325"/>
      <c r="EP14" s="1325"/>
      <c r="EQ14" s="1325"/>
      <c r="ER14" s="1325"/>
      <c r="ES14" s="1325"/>
      <c r="ET14" s="1325"/>
      <c r="EU14" s="1325"/>
      <c r="EV14" s="1325"/>
      <c r="EW14" s="1325"/>
      <c r="EX14" s="1325"/>
      <c r="EY14" s="1325"/>
      <c r="EZ14" s="1325"/>
      <c r="FA14" s="1325"/>
      <c r="FB14" s="1325"/>
      <c r="FC14" s="1325"/>
      <c r="FD14" s="1325"/>
      <c r="FE14" s="1325"/>
      <c r="FF14" s="1325"/>
      <c r="FG14" s="1325"/>
      <c r="FH14" s="1325"/>
      <c r="FI14" s="1325"/>
      <c r="FJ14" s="1325"/>
      <c r="FK14" s="1325"/>
      <c r="FL14" s="1325"/>
      <c r="FM14" s="1325"/>
      <c r="FN14" s="1325"/>
      <c r="FO14" s="1325"/>
      <c r="FP14" s="1325"/>
      <c r="FQ14" s="1325"/>
      <c r="FR14" s="1325"/>
      <c r="FS14" s="1325"/>
      <c r="FT14" s="1325"/>
      <c r="FU14" s="1325"/>
      <c r="FV14" s="1325"/>
      <c r="FW14" s="1325"/>
      <c r="FX14" s="1325"/>
      <c r="FY14" s="1325"/>
      <c r="FZ14" s="1325"/>
      <c r="GA14" s="1325"/>
      <c r="GB14" s="1325"/>
      <c r="GC14" s="1325"/>
      <c r="GD14" s="1325"/>
      <c r="GE14" s="1325"/>
      <c r="GF14" s="1325"/>
      <c r="GG14" s="1325"/>
      <c r="GH14" s="1325"/>
      <c r="GI14" s="1325"/>
      <c r="GJ14" s="1325"/>
      <c r="GK14" s="1325"/>
      <c r="GL14" s="1325"/>
      <c r="GM14" s="1325"/>
      <c r="GN14" s="1325"/>
      <c r="GO14" s="1325"/>
      <c r="GP14" s="1325"/>
      <c r="GQ14" s="1325"/>
      <c r="GR14" s="1325"/>
      <c r="GS14" s="1325"/>
      <c r="GT14" s="1325"/>
      <c r="GU14" s="1325"/>
      <c r="GV14" s="1325"/>
      <c r="GW14" s="1325"/>
      <c r="GX14" s="1325"/>
      <c r="GY14" s="1325"/>
      <c r="GZ14" s="1325"/>
      <c r="HA14" s="1325"/>
      <c r="HB14" s="1325"/>
      <c r="HC14" s="1325"/>
      <c r="HD14" s="1325"/>
      <c r="HE14" s="1325"/>
      <c r="HF14" s="1325"/>
      <c r="HG14" s="1325"/>
      <c r="HH14" s="1325"/>
      <c r="HI14" s="1325"/>
      <c r="HJ14" s="1325"/>
      <c r="HK14" s="1325"/>
      <c r="HL14" s="1325"/>
      <c r="HM14" s="1325"/>
      <c r="HN14" s="1325"/>
      <c r="HO14" s="1325"/>
      <c r="HP14" s="1325"/>
      <c r="HQ14" s="1325"/>
      <c r="HR14" s="1325"/>
      <c r="HS14" s="1325"/>
      <c r="HT14" s="1325"/>
      <c r="HU14" s="1325"/>
      <c r="HV14" s="1325"/>
      <c r="HW14" s="1325"/>
      <c r="HX14" s="1325"/>
      <c r="HY14" s="1325"/>
      <c r="HZ14" s="1325"/>
      <c r="IA14" s="1325"/>
      <c r="IB14" s="1325"/>
      <c r="IC14" s="1325"/>
      <c r="ID14" s="1325"/>
      <c r="IE14" s="1325"/>
      <c r="IF14" s="1325"/>
      <c r="IG14" s="1325"/>
      <c r="IH14" s="1325"/>
      <c r="II14" s="1325"/>
      <c r="IJ14" s="1325"/>
      <c r="IK14" s="1325"/>
      <c r="IL14" s="1325"/>
      <c r="IM14" s="1325"/>
      <c r="IN14" s="1325"/>
      <c r="IO14" s="1325"/>
      <c r="IP14" s="1325"/>
      <c r="IQ14" s="1325"/>
      <c r="IR14" s="1325"/>
      <c r="IS14" s="1325"/>
      <c r="IT14" s="1325"/>
      <c r="IU14" s="1325"/>
      <c r="IV14" s="1325"/>
    </row>
    <row r="15" spans="1:256" ht="48" customHeight="1">
      <c r="A15" s="1365" t="s">
        <v>786</v>
      </c>
      <c r="B15" s="1366" t="s">
        <v>787</v>
      </c>
      <c r="C15" s="1367"/>
      <c r="D15" s="1367"/>
      <c r="E15" s="1325"/>
      <c r="F15" s="1325"/>
      <c r="G15" s="1325"/>
      <c r="H15" s="1325"/>
      <c r="I15" s="1325"/>
      <c r="J15" s="1325"/>
      <c r="K15" s="1325"/>
      <c r="L15" s="1325"/>
      <c r="M15" s="1325"/>
      <c r="N15" s="1325"/>
      <c r="O15" s="1325"/>
      <c r="P15" s="1325"/>
      <c r="Q15" s="1325"/>
      <c r="R15" s="1325"/>
      <c r="S15" s="1325"/>
      <c r="T15" s="1325"/>
      <c r="U15" s="1325"/>
      <c r="V15" s="1325"/>
      <c r="W15" s="1325"/>
      <c r="X15" s="1325"/>
      <c r="Y15" s="1325"/>
      <c r="Z15" s="1325"/>
      <c r="AA15" s="1325"/>
      <c r="AB15" s="1325"/>
      <c r="AC15" s="1325"/>
      <c r="AD15" s="1325"/>
      <c r="AE15" s="1325"/>
      <c r="AF15" s="1325"/>
      <c r="AG15" s="1325"/>
      <c r="AH15" s="1325"/>
      <c r="AI15" s="1325"/>
      <c r="AJ15" s="1325"/>
      <c r="AK15" s="1325"/>
      <c r="AL15" s="1325"/>
      <c r="AM15" s="1325"/>
      <c r="AN15" s="1325"/>
      <c r="AO15" s="1325"/>
      <c r="AP15" s="1325"/>
      <c r="AQ15" s="1325"/>
      <c r="AR15" s="1325"/>
      <c r="AS15" s="1325"/>
      <c r="AT15" s="1325"/>
      <c r="AU15" s="1325"/>
      <c r="AV15" s="1325"/>
      <c r="AW15" s="1325"/>
      <c r="AX15" s="1325"/>
      <c r="AY15" s="1325"/>
      <c r="AZ15" s="1325"/>
      <c r="BA15" s="1325"/>
      <c r="BB15" s="1325"/>
      <c r="BC15" s="1325"/>
      <c r="BD15" s="1325"/>
      <c r="BE15" s="1325"/>
      <c r="BF15" s="1325"/>
      <c r="BG15" s="1325"/>
      <c r="BH15" s="1325"/>
      <c r="BI15" s="1325"/>
      <c r="BJ15" s="1325"/>
      <c r="BK15" s="1325"/>
      <c r="BL15" s="1325"/>
      <c r="BM15" s="1325"/>
      <c r="BN15" s="1325"/>
      <c r="BO15" s="1325"/>
      <c r="BP15" s="1325"/>
      <c r="BQ15" s="1325"/>
      <c r="BR15" s="1325"/>
      <c r="BS15" s="1325"/>
      <c r="BT15" s="1325"/>
      <c r="BU15" s="1325"/>
      <c r="BV15" s="1325"/>
      <c r="BW15" s="1325"/>
      <c r="BX15" s="1325"/>
      <c r="BY15" s="1325"/>
      <c r="BZ15" s="1325"/>
      <c r="CA15" s="1325"/>
      <c r="CB15" s="1325"/>
      <c r="CC15" s="1325"/>
      <c r="CD15" s="1325"/>
      <c r="CE15" s="1325"/>
      <c r="CF15" s="1325"/>
      <c r="CG15" s="1325"/>
      <c r="CH15" s="1325"/>
      <c r="CI15" s="1325"/>
      <c r="CJ15" s="1325"/>
      <c r="CK15" s="1325"/>
      <c r="CL15" s="1325"/>
      <c r="CM15" s="1325"/>
      <c r="CN15" s="1325"/>
      <c r="CO15" s="1325"/>
      <c r="CP15" s="1325"/>
      <c r="CQ15" s="1325"/>
      <c r="CR15" s="1325"/>
      <c r="CS15" s="1325"/>
      <c r="CT15" s="1325"/>
      <c r="CU15" s="1325"/>
      <c r="CV15" s="1325"/>
      <c r="CW15" s="1325"/>
      <c r="CX15" s="1325"/>
      <c r="CY15" s="1325"/>
      <c r="CZ15" s="1325"/>
      <c r="DA15" s="1325"/>
      <c r="DB15" s="1325"/>
      <c r="DC15" s="1325"/>
      <c r="DD15" s="1325"/>
      <c r="DE15" s="1325"/>
      <c r="DF15" s="1325"/>
      <c r="DG15" s="1325"/>
      <c r="DH15" s="1325"/>
      <c r="DI15" s="1325"/>
      <c r="DJ15" s="1325"/>
      <c r="DK15" s="1325"/>
      <c r="DL15" s="1325"/>
      <c r="DM15" s="1325"/>
      <c r="DN15" s="1325"/>
      <c r="DO15" s="1325"/>
      <c r="DP15" s="1325"/>
      <c r="DQ15" s="1325"/>
      <c r="DR15" s="1325"/>
      <c r="DS15" s="1325"/>
      <c r="DT15" s="1325"/>
      <c r="DU15" s="1325"/>
      <c r="DV15" s="1325"/>
      <c r="DW15" s="1325"/>
      <c r="DX15" s="1325"/>
      <c r="DY15" s="1325"/>
      <c r="DZ15" s="1325"/>
      <c r="EA15" s="1325"/>
      <c r="EB15" s="1325"/>
      <c r="EC15" s="1325"/>
      <c r="ED15" s="1325"/>
      <c r="EE15" s="1325"/>
      <c r="EF15" s="1325"/>
      <c r="EG15" s="1325"/>
      <c r="EH15" s="1325"/>
      <c r="EI15" s="1325"/>
      <c r="EJ15" s="1325"/>
      <c r="EK15" s="1325"/>
      <c r="EL15" s="1325"/>
      <c r="EM15" s="1325"/>
      <c r="EN15" s="1325"/>
      <c r="EO15" s="1325"/>
      <c r="EP15" s="1325"/>
      <c r="EQ15" s="1325"/>
      <c r="ER15" s="1325"/>
      <c r="ES15" s="1325"/>
      <c r="ET15" s="1325"/>
      <c r="EU15" s="1325"/>
      <c r="EV15" s="1325"/>
      <c r="EW15" s="1325"/>
      <c r="EX15" s="1325"/>
      <c r="EY15" s="1325"/>
      <c r="EZ15" s="1325"/>
      <c r="FA15" s="1325"/>
      <c r="FB15" s="1325"/>
      <c r="FC15" s="1325"/>
      <c r="FD15" s="1325"/>
      <c r="FE15" s="1325"/>
      <c r="FF15" s="1325"/>
      <c r="FG15" s="1325"/>
      <c r="FH15" s="1325"/>
      <c r="FI15" s="1325"/>
      <c r="FJ15" s="1325"/>
      <c r="FK15" s="1325"/>
      <c r="FL15" s="1325"/>
      <c r="FM15" s="1325"/>
      <c r="FN15" s="1325"/>
      <c r="FO15" s="1325"/>
      <c r="FP15" s="1325"/>
      <c r="FQ15" s="1325"/>
      <c r="FR15" s="1325"/>
      <c r="FS15" s="1325"/>
      <c r="FT15" s="1325"/>
      <c r="FU15" s="1325"/>
      <c r="FV15" s="1325"/>
      <c r="FW15" s="1325"/>
      <c r="FX15" s="1325"/>
      <c r="FY15" s="1325"/>
      <c r="FZ15" s="1325"/>
      <c r="GA15" s="1325"/>
      <c r="GB15" s="1325"/>
      <c r="GC15" s="1325"/>
      <c r="GD15" s="1325"/>
      <c r="GE15" s="1325"/>
      <c r="GF15" s="1325"/>
      <c r="GG15" s="1325"/>
      <c r="GH15" s="1325"/>
      <c r="GI15" s="1325"/>
      <c r="GJ15" s="1325"/>
      <c r="GK15" s="1325"/>
      <c r="GL15" s="1325"/>
      <c r="GM15" s="1325"/>
      <c r="GN15" s="1325"/>
      <c r="GO15" s="1325"/>
      <c r="GP15" s="1325"/>
      <c r="GQ15" s="1325"/>
      <c r="GR15" s="1325"/>
      <c r="GS15" s="1325"/>
      <c r="GT15" s="1325"/>
      <c r="GU15" s="1325"/>
      <c r="GV15" s="1325"/>
      <c r="GW15" s="1325"/>
      <c r="GX15" s="1325"/>
      <c r="GY15" s="1325"/>
      <c r="GZ15" s="1325"/>
      <c r="HA15" s="1325"/>
      <c r="HB15" s="1325"/>
      <c r="HC15" s="1325"/>
      <c r="HD15" s="1325"/>
      <c r="HE15" s="1325"/>
      <c r="HF15" s="1325"/>
      <c r="HG15" s="1325"/>
      <c r="HH15" s="1325"/>
      <c r="HI15" s="1325"/>
      <c r="HJ15" s="1325"/>
      <c r="HK15" s="1325"/>
      <c r="HL15" s="1325"/>
      <c r="HM15" s="1325"/>
      <c r="HN15" s="1325"/>
      <c r="HO15" s="1325"/>
      <c r="HP15" s="1325"/>
      <c r="HQ15" s="1325"/>
      <c r="HR15" s="1325"/>
      <c r="HS15" s="1325"/>
      <c r="HT15" s="1325"/>
      <c r="HU15" s="1325"/>
      <c r="HV15" s="1325"/>
      <c r="HW15" s="1325"/>
      <c r="HX15" s="1325"/>
      <c r="HY15" s="1325"/>
      <c r="HZ15" s="1325"/>
      <c r="IA15" s="1325"/>
      <c r="IB15" s="1325"/>
      <c r="IC15" s="1325"/>
      <c r="ID15" s="1325"/>
      <c r="IE15" s="1325"/>
      <c r="IF15" s="1325"/>
      <c r="IG15" s="1325"/>
      <c r="IH15" s="1325"/>
      <c r="II15" s="1325"/>
      <c r="IJ15" s="1325"/>
      <c r="IK15" s="1325"/>
      <c r="IL15" s="1325"/>
      <c r="IM15" s="1325"/>
      <c r="IN15" s="1325"/>
      <c r="IO15" s="1325"/>
      <c r="IP15" s="1325"/>
      <c r="IQ15" s="1325"/>
      <c r="IR15" s="1325"/>
      <c r="IS15" s="1325"/>
      <c r="IT15" s="1325"/>
      <c r="IU15" s="1325"/>
      <c r="IV15" s="1325"/>
    </row>
    <row r="16" spans="1:256" ht="48" customHeight="1">
      <c r="A16" s="1365" t="s">
        <v>788</v>
      </c>
      <c r="B16" s="1366" t="s">
        <v>384</v>
      </c>
      <c r="C16" s="1367"/>
      <c r="D16" s="1367"/>
      <c r="E16" s="1325"/>
      <c r="F16" s="1325"/>
      <c r="G16" s="1325"/>
      <c r="H16" s="1325"/>
      <c r="I16" s="1325"/>
      <c r="J16" s="1325"/>
      <c r="K16" s="1325"/>
      <c r="L16" s="1325"/>
      <c r="M16" s="1325"/>
      <c r="N16" s="1325"/>
      <c r="O16" s="1325"/>
      <c r="P16" s="1325"/>
      <c r="Q16" s="1325"/>
      <c r="R16" s="1325"/>
      <c r="S16" s="1325"/>
      <c r="T16" s="1325"/>
      <c r="U16" s="1325"/>
      <c r="V16" s="1325"/>
      <c r="W16" s="1325"/>
      <c r="X16" s="1325"/>
      <c r="Y16" s="1325"/>
      <c r="Z16" s="1325"/>
      <c r="AA16" s="1325"/>
      <c r="AB16" s="1325"/>
      <c r="AC16" s="1325"/>
      <c r="AD16" s="1325"/>
      <c r="AE16" s="1325"/>
      <c r="AF16" s="1325"/>
      <c r="AG16" s="1325"/>
      <c r="AH16" s="1325"/>
      <c r="AI16" s="1325"/>
      <c r="AJ16" s="1325"/>
      <c r="AK16" s="1325"/>
      <c r="AL16" s="1325"/>
      <c r="AM16" s="1325"/>
      <c r="AN16" s="1325"/>
      <c r="AO16" s="1325"/>
      <c r="AP16" s="1325"/>
      <c r="AQ16" s="1325"/>
      <c r="AR16" s="1325"/>
      <c r="AS16" s="1325"/>
      <c r="AT16" s="1325"/>
      <c r="AU16" s="1325"/>
      <c r="AV16" s="1325"/>
      <c r="AW16" s="1325"/>
      <c r="AX16" s="1325"/>
      <c r="AY16" s="1325"/>
      <c r="AZ16" s="1325"/>
      <c r="BA16" s="1325"/>
      <c r="BB16" s="1325"/>
      <c r="BC16" s="1325"/>
      <c r="BD16" s="1325"/>
      <c r="BE16" s="1325"/>
      <c r="BF16" s="1325"/>
      <c r="BG16" s="1325"/>
      <c r="BH16" s="1325"/>
      <c r="BI16" s="1325"/>
      <c r="BJ16" s="1325"/>
      <c r="BK16" s="1325"/>
      <c r="BL16" s="1325"/>
      <c r="BM16" s="1325"/>
      <c r="BN16" s="1325"/>
      <c r="BO16" s="1325"/>
      <c r="BP16" s="1325"/>
      <c r="BQ16" s="1325"/>
      <c r="BR16" s="1325"/>
      <c r="BS16" s="1325"/>
      <c r="BT16" s="1325"/>
      <c r="BU16" s="1325"/>
      <c r="BV16" s="1325"/>
      <c r="BW16" s="1325"/>
      <c r="BX16" s="1325"/>
      <c r="BY16" s="1325"/>
      <c r="BZ16" s="1325"/>
      <c r="CA16" s="1325"/>
      <c r="CB16" s="1325"/>
      <c r="CC16" s="1325"/>
      <c r="CD16" s="1325"/>
      <c r="CE16" s="1325"/>
      <c r="CF16" s="1325"/>
      <c r="CG16" s="1325"/>
      <c r="CH16" s="1325"/>
      <c r="CI16" s="1325"/>
      <c r="CJ16" s="1325"/>
      <c r="CK16" s="1325"/>
      <c r="CL16" s="1325"/>
      <c r="CM16" s="1325"/>
      <c r="CN16" s="1325"/>
      <c r="CO16" s="1325"/>
      <c r="CP16" s="1325"/>
      <c r="CQ16" s="1325"/>
      <c r="CR16" s="1325"/>
      <c r="CS16" s="1325"/>
      <c r="CT16" s="1325"/>
      <c r="CU16" s="1325"/>
      <c r="CV16" s="1325"/>
      <c r="CW16" s="1325"/>
      <c r="CX16" s="1325"/>
      <c r="CY16" s="1325"/>
      <c r="CZ16" s="1325"/>
      <c r="DA16" s="1325"/>
      <c r="DB16" s="1325"/>
      <c r="DC16" s="1325"/>
      <c r="DD16" s="1325"/>
      <c r="DE16" s="1325"/>
      <c r="DF16" s="1325"/>
      <c r="DG16" s="1325"/>
      <c r="DH16" s="1325"/>
      <c r="DI16" s="1325"/>
      <c r="DJ16" s="1325"/>
      <c r="DK16" s="1325"/>
      <c r="DL16" s="1325"/>
      <c r="DM16" s="1325"/>
      <c r="DN16" s="1325"/>
      <c r="DO16" s="1325"/>
      <c r="DP16" s="1325"/>
      <c r="DQ16" s="1325"/>
      <c r="DR16" s="1325"/>
      <c r="DS16" s="1325"/>
      <c r="DT16" s="1325"/>
      <c r="DU16" s="1325"/>
      <c r="DV16" s="1325"/>
      <c r="DW16" s="1325"/>
      <c r="DX16" s="1325"/>
      <c r="DY16" s="1325"/>
      <c r="DZ16" s="1325"/>
      <c r="EA16" s="1325"/>
      <c r="EB16" s="1325"/>
      <c r="EC16" s="1325"/>
      <c r="ED16" s="1325"/>
      <c r="EE16" s="1325"/>
      <c r="EF16" s="1325"/>
      <c r="EG16" s="1325"/>
      <c r="EH16" s="1325"/>
      <c r="EI16" s="1325"/>
      <c r="EJ16" s="1325"/>
      <c r="EK16" s="1325"/>
      <c r="EL16" s="1325"/>
      <c r="EM16" s="1325"/>
      <c r="EN16" s="1325"/>
      <c r="EO16" s="1325"/>
      <c r="EP16" s="1325"/>
      <c r="EQ16" s="1325"/>
      <c r="ER16" s="1325"/>
      <c r="ES16" s="1325"/>
      <c r="ET16" s="1325"/>
      <c r="EU16" s="1325"/>
      <c r="EV16" s="1325"/>
      <c r="EW16" s="1325"/>
      <c r="EX16" s="1325"/>
      <c r="EY16" s="1325"/>
      <c r="EZ16" s="1325"/>
      <c r="FA16" s="1325"/>
      <c r="FB16" s="1325"/>
      <c r="FC16" s="1325"/>
      <c r="FD16" s="1325"/>
      <c r="FE16" s="1325"/>
      <c r="FF16" s="1325"/>
      <c r="FG16" s="1325"/>
      <c r="FH16" s="1325"/>
      <c r="FI16" s="1325"/>
      <c r="FJ16" s="1325"/>
      <c r="FK16" s="1325"/>
      <c r="FL16" s="1325"/>
      <c r="FM16" s="1325"/>
      <c r="FN16" s="1325"/>
      <c r="FO16" s="1325"/>
      <c r="FP16" s="1325"/>
      <c r="FQ16" s="1325"/>
      <c r="FR16" s="1325"/>
      <c r="FS16" s="1325"/>
      <c r="FT16" s="1325"/>
      <c r="FU16" s="1325"/>
      <c r="FV16" s="1325"/>
      <c r="FW16" s="1325"/>
      <c r="FX16" s="1325"/>
      <c r="FY16" s="1325"/>
      <c r="FZ16" s="1325"/>
      <c r="GA16" s="1325"/>
      <c r="GB16" s="1325"/>
      <c r="GC16" s="1325"/>
      <c r="GD16" s="1325"/>
      <c r="GE16" s="1325"/>
      <c r="GF16" s="1325"/>
      <c r="GG16" s="1325"/>
      <c r="GH16" s="1325"/>
      <c r="GI16" s="1325"/>
      <c r="GJ16" s="1325"/>
      <c r="GK16" s="1325"/>
      <c r="GL16" s="1325"/>
      <c r="GM16" s="1325"/>
      <c r="GN16" s="1325"/>
      <c r="GO16" s="1325"/>
      <c r="GP16" s="1325"/>
      <c r="GQ16" s="1325"/>
      <c r="GR16" s="1325"/>
      <c r="GS16" s="1325"/>
      <c r="GT16" s="1325"/>
      <c r="GU16" s="1325"/>
      <c r="GV16" s="1325"/>
      <c r="GW16" s="1325"/>
      <c r="GX16" s="1325"/>
      <c r="GY16" s="1325"/>
      <c r="GZ16" s="1325"/>
      <c r="HA16" s="1325"/>
      <c r="HB16" s="1325"/>
      <c r="HC16" s="1325"/>
      <c r="HD16" s="1325"/>
      <c r="HE16" s="1325"/>
      <c r="HF16" s="1325"/>
      <c r="HG16" s="1325"/>
      <c r="HH16" s="1325"/>
      <c r="HI16" s="1325"/>
      <c r="HJ16" s="1325"/>
      <c r="HK16" s="1325"/>
      <c r="HL16" s="1325"/>
      <c r="HM16" s="1325"/>
      <c r="HN16" s="1325"/>
      <c r="HO16" s="1325"/>
      <c r="HP16" s="1325"/>
      <c r="HQ16" s="1325"/>
      <c r="HR16" s="1325"/>
      <c r="HS16" s="1325"/>
      <c r="HT16" s="1325"/>
      <c r="HU16" s="1325"/>
      <c r="HV16" s="1325"/>
      <c r="HW16" s="1325"/>
      <c r="HX16" s="1325"/>
      <c r="HY16" s="1325"/>
      <c r="HZ16" s="1325"/>
      <c r="IA16" s="1325"/>
      <c r="IB16" s="1325"/>
      <c r="IC16" s="1325"/>
      <c r="ID16" s="1325"/>
      <c r="IE16" s="1325"/>
      <c r="IF16" s="1325"/>
      <c r="IG16" s="1325"/>
      <c r="IH16" s="1325"/>
      <c r="II16" s="1325"/>
      <c r="IJ16" s="1325"/>
      <c r="IK16" s="1325"/>
      <c r="IL16" s="1325"/>
      <c r="IM16" s="1325"/>
      <c r="IN16" s="1325"/>
      <c r="IO16" s="1325"/>
      <c r="IP16" s="1325"/>
      <c r="IQ16" s="1325"/>
      <c r="IR16" s="1325"/>
      <c r="IS16" s="1325"/>
      <c r="IT16" s="1325"/>
      <c r="IU16" s="1325"/>
      <c r="IV16" s="1325"/>
    </row>
    <row r="17" spans="1:256" ht="48" customHeight="1">
      <c r="A17" s="1365" t="s">
        <v>789</v>
      </c>
      <c r="B17" s="1366" t="s">
        <v>404</v>
      </c>
      <c r="C17" s="1367"/>
      <c r="D17" s="1367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1325"/>
      <c r="AG17" s="1325"/>
      <c r="AH17" s="1325"/>
      <c r="AI17" s="1325"/>
      <c r="AJ17" s="1325"/>
      <c r="AK17" s="1325"/>
      <c r="AL17" s="1325"/>
      <c r="AM17" s="1325"/>
      <c r="AN17" s="1325"/>
      <c r="AO17" s="1325"/>
      <c r="AP17" s="1325"/>
      <c r="AQ17" s="1325"/>
      <c r="AR17" s="1325"/>
      <c r="AS17" s="1325"/>
      <c r="AT17" s="1325"/>
      <c r="AU17" s="1325"/>
      <c r="AV17" s="1325"/>
      <c r="AW17" s="1325"/>
      <c r="AX17" s="1325"/>
      <c r="AY17" s="1325"/>
      <c r="AZ17" s="1325"/>
      <c r="BA17" s="1325"/>
      <c r="BB17" s="1325"/>
      <c r="BC17" s="1325"/>
      <c r="BD17" s="1325"/>
      <c r="BE17" s="1325"/>
      <c r="BF17" s="1325"/>
      <c r="BG17" s="1325"/>
      <c r="BH17" s="1325"/>
      <c r="BI17" s="1325"/>
      <c r="BJ17" s="1325"/>
      <c r="BK17" s="1325"/>
      <c r="BL17" s="1325"/>
      <c r="BM17" s="1325"/>
      <c r="BN17" s="1325"/>
      <c r="BO17" s="1325"/>
      <c r="BP17" s="1325"/>
      <c r="BQ17" s="1325"/>
      <c r="BR17" s="1325"/>
      <c r="BS17" s="1325"/>
      <c r="BT17" s="1325"/>
      <c r="BU17" s="1325"/>
      <c r="BV17" s="1325"/>
      <c r="BW17" s="1325"/>
      <c r="BX17" s="1325"/>
      <c r="BY17" s="1325"/>
      <c r="BZ17" s="1325"/>
      <c r="CA17" s="1325"/>
      <c r="CB17" s="1325"/>
      <c r="CC17" s="1325"/>
      <c r="CD17" s="1325"/>
      <c r="CE17" s="1325"/>
      <c r="CF17" s="1325"/>
      <c r="CG17" s="1325"/>
      <c r="CH17" s="1325"/>
      <c r="CI17" s="1325"/>
      <c r="CJ17" s="1325"/>
      <c r="CK17" s="1325"/>
      <c r="CL17" s="1325"/>
      <c r="CM17" s="1325"/>
      <c r="CN17" s="1325"/>
      <c r="CO17" s="1325"/>
      <c r="CP17" s="1325"/>
      <c r="CQ17" s="1325"/>
      <c r="CR17" s="1325"/>
      <c r="CS17" s="1325"/>
      <c r="CT17" s="1325"/>
      <c r="CU17" s="1325"/>
      <c r="CV17" s="1325"/>
      <c r="CW17" s="1325"/>
      <c r="CX17" s="1325"/>
      <c r="CY17" s="1325"/>
      <c r="CZ17" s="1325"/>
      <c r="DA17" s="1325"/>
      <c r="DB17" s="1325"/>
      <c r="DC17" s="1325"/>
      <c r="DD17" s="1325"/>
      <c r="DE17" s="1325"/>
      <c r="DF17" s="1325"/>
      <c r="DG17" s="1325"/>
      <c r="DH17" s="1325"/>
      <c r="DI17" s="1325"/>
      <c r="DJ17" s="1325"/>
      <c r="DK17" s="1325"/>
      <c r="DL17" s="1325"/>
      <c r="DM17" s="1325"/>
      <c r="DN17" s="1325"/>
      <c r="DO17" s="1325"/>
      <c r="DP17" s="1325"/>
      <c r="DQ17" s="1325"/>
      <c r="DR17" s="1325"/>
      <c r="DS17" s="1325"/>
      <c r="DT17" s="1325"/>
      <c r="DU17" s="1325"/>
      <c r="DV17" s="1325"/>
      <c r="DW17" s="1325"/>
      <c r="DX17" s="1325"/>
      <c r="DY17" s="1325"/>
      <c r="DZ17" s="1325"/>
      <c r="EA17" s="1325"/>
      <c r="EB17" s="1325"/>
      <c r="EC17" s="1325"/>
      <c r="ED17" s="1325"/>
      <c r="EE17" s="1325"/>
      <c r="EF17" s="1325"/>
      <c r="EG17" s="1325"/>
      <c r="EH17" s="1325"/>
      <c r="EI17" s="1325"/>
      <c r="EJ17" s="1325"/>
      <c r="EK17" s="1325"/>
      <c r="EL17" s="1325"/>
      <c r="EM17" s="1325"/>
      <c r="EN17" s="1325"/>
      <c r="EO17" s="1325"/>
      <c r="EP17" s="1325"/>
      <c r="EQ17" s="1325"/>
      <c r="ER17" s="1325"/>
      <c r="ES17" s="1325"/>
      <c r="ET17" s="1325"/>
      <c r="EU17" s="1325"/>
      <c r="EV17" s="1325"/>
      <c r="EW17" s="1325"/>
      <c r="EX17" s="1325"/>
      <c r="EY17" s="1325"/>
      <c r="EZ17" s="1325"/>
      <c r="FA17" s="1325"/>
      <c r="FB17" s="1325"/>
      <c r="FC17" s="1325"/>
      <c r="FD17" s="1325"/>
      <c r="FE17" s="1325"/>
      <c r="FF17" s="1325"/>
      <c r="FG17" s="1325"/>
      <c r="FH17" s="1325"/>
      <c r="FI17" s="1325"/>
      <c r="FJ17" s="1325"/>
      <c r="FK17" s="1325"/>
      <c r="FL17" s="1325"/>
      <c r="FM17" s="1325"/>
      <c r="FN17" s="1325"/>
      <c r="FO17" s="1325"/>
      <c r="FP17" s="1325"/>
      <c r="FQ17" s="1325"/>
      <c r="FR17" s="1325"/>
      <c r="FS17" s="1325"/>
      <c r="FT17" s="1325"/>
      <c r="FU17" s="1325"/>
      <c r="FV17" s="1325"/>
      <c r="FW17" s="1325"/>
      <c r="FX17" s="1325"/>
      <c r="FY17" s="1325"/>
      <c r="FZ17" s="1325"/>
      <c r="GA17" s="1325"/>
      <c r="GB17" s="1325"/>
      <c r="GC17" s="1325"/>
      <c r="GD17" s="1325"/>
      <c r="GE17" s="1325"/>
      <c r="GF17" s="1325"/>
      <c r="GG17" s="1325"/>
      <c r="GH17" s="1325"/>
      <c r="GI17" s="1325"/>
      <c r="GJ17" s="1325"/>
      <c r="GK17" s="1325"/>
      <c r="GL17" s="1325"/>
      <c r="GM17" s="1325"/>
      <c r="GN17" s="1325"/>
      <c r="GO17" s="1325"/>
      <c r="GP17" s="1325"/>
      <c r="GQ17" s="1325"/>
      <c r="GR17" s="1325"/>
      <c r="GS17" s="1325"/>
      <c r="GT17" s="1325"/>
      <c r="GU17" s="1325"/>
      <c r="GV17" s="1325"/>
      <c r="GW17" s="1325"/>
      <c r="GX17" s="1325"/>
      <c r="GY17" s="1325"/>
      <c r="GZ17" s="1325"/>
      <c r="HA17" s="1325"/>
      <c r="HB17" s="1325"/>
      <c r="HC17" s="1325"/>
      <c r="HD17" s="1325"/>
      <c r="HE17" s="1325"/>
      <c r="HF17" s="1325"/>
      <c r="HG17" s="1325"/>
      <c r="HH17" s="1325"/>
      <c r="HI17" s="1325"/>
      <c r="HJ17" s="1325"/>
      <c r="HK17" s="1325"/>
      <c r="HL17" s="1325"/>
      <c r="HM17" s="1325"/>
      <c r="HN17" s="1325"/>
      <c r="HO17" s="1325"/>
      <c r="HP17" s="1325"/>
      <c r="HQ17" s="1325"/>
      <c r="HR17" s="1325"/>
      <c r="HS17" s="1325"/>
      <c r="HT17" s="1325"/>
      <c r="HU17" s="1325"/>
      <c r="HV17" s="1325"/>
      <c r="HW17" s="1325"/>
      <c r="HX17" s="1325"/>
      <c r="HY17" s="1325"/>
      <c r="HZ17" s="1325"/>
      <c r="IA17" s="1325"/>
      <c r="IB17" s="1325"/>
      <c r="IC17" s="1325"/>
      <c r="ID17" s="1325"/>
      <c r="IE17" s="1325"/>
      <c r="IF17" s="1325"/>
      <c r="IG17" s="1325"/>
      <c r="IH17" s="1325"/>
      <c r="II17" s="1325"/>
      <c r="IJ17" s="1325"/>
      <c r="IK17" s="1325"/>
      <c r="IL17" s="1325"/>
      <c r="IM17" s="1325"/>
      <c r="IN17" s="1325"/>
      <c r="IO17" s="1325"/>
      <c r="IP17" s="1325"/>
      <c r="IQ17" s="1325"/>
      <c r="IR17" s="1325"/>
      <c r="IS17" s="1325"/>
      <c r="IT17" s="1325"/>
      <c r="IU17" s="1325"/>
      <c r="IV17" s="1325"/>
    </row>
    <row r="18" spans="1:256" ht="48" customHeight="1">
      <c r="A18" s="1368" t="s">
        <v>790</v>
      </c>
      <c r="B18" s="1369" t="s">
        <v>405</v>
      </c>
      <c r="C18" s="1371">
        <f>SUM(C19:C22)</f>
        <v>37866862</v>
      </c>
      <c r="D18" s="1371">
        <f>SUM(D19:D22)</f>
        <v>1376785</v>
      </c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1325"/>
      <c r="T18" s="1325"/>
      <c r="U18" s="1325"/>
      <c r="V18" s="1325"/>
      <c r="W18" s="1325"/>
      <c r="X18" s="1325"/>
      <c r="Y18" s="1325"/>
      <c r="Z18" s="1325"/>
      <c r="AA18" s="1325"/>
      <c r="AB18" s="1325"/>
      <c r="AC18" s="1325"/>
      <c r="AD18" s="1325"/>
      <c r="AE18" s="1325"/>
      <c r="AF18" s="1325"/>
      <c r="AG18" s="1325"/>
      <c r="AH18" s="1325"/>
      <c r="AI18" s="1325"/>
      <c r="AJ18" s="1325"/>
      <c r="AK18" s="1325"/>
      <c r="AL18" s="1325"/>
      <c r="AM18" s="1325"/>
      <c r="AN18" s="1325"/>
      <c r="AO18" s="1325"/>
      <c r="AP18" s="1325"/>
      <c r="AQ18" s="1325"/>
      <c r="AR18" s="1325"/>
      <c r="AS18" s="1325"/>
      <c r="AT18" s="1325"/>
      <c r="AU18" s="1325"/>
      <c r="AV18" s="1325"/>
      <c r="AW18" s="1325"/>
      <c r="AX18" s="1325"/>
      <c r="AY18" s="1325"/>
      <c r="AZ18" s="1325"/>
      <c r="BA18" s="1325"/>
      <c r="BB18" s="1325"/>
      <c r="BC18" s="1325"/>
      <c r="BD18" s="1325"/>
      <c r="BE18" s="1325"/>
      <c r="BF18" s="1325"/>
      <c r="BG18" s="1325"/>
      <c r="BH18" s="1325"/>
      <c r="BI18" s="1325"/>
      <c r="BJ18" s="1325"/>
      <c r="BK18" s="1325"/>
      <c r="BL18" s="1325"/>
      <c r="BM18" s="1325"/>
      <c r="BN18" s="1325"/>
      <c r="BO18" s="1325"/>
      <c r="BP18" s="1325"/>
      <c r="BQ18" s="1325"/>
      <c r="BR18" s="1325"/>
      <c r="BS18" s="1325"/>
      <c r="BT18" s="1325"/>
      <c r="BU18" s="1325"/>
      <c r="BV18" s="1325"/>
      <c r="BW18" s="1325"/>
      <c r="BX18" s="1325"/>
      <c r="BY18" s="1325"/>
      <c r="BZ18" s="1325"/>
      <c r="CA18" s="1325"/>
      <c r="CB18" s="1325"/>
      <c r="CC18" s="1325"/>
      <c r="CD18" s="1325"/>
      <c r="CE18" s="1325"/>
      <c r="CF18" s="1325"/>
      <c r="CG18" s="1325"/>
      <c r="CH18" s="1325"/>
      <c r="CI18" s="1325"/>
      <c r="CJ18" s="1325"/>
      <c r="CK18" s="1325"/>
      <c r="CL18" s="1325"/>
      <c r="CM18" s="1325"/>
      <c r="CN18" s="1325"/>
      <c r="CO18" s="1325"/>
      <c r="CP18" s="1325"/>
      <c r="CQ18" s="1325"/>
      <c r="CR18" s="1325"/>
      <c r="CS18" s="1325"/>
      <c r="CT18" s="1325"/>
      <c r="CU18" s="1325"/>
      <c r="CV18" s="1325"/>
      <c r="CW18" s="1325"/>
      <c r="CX18" s="1325"/>
      <c r="CY18" s="1325"/>
      <c r="CZ18" s="1325"/>
      <c r="DA18" s="1325"/>
      <c r="DB18" s="1325"/>
      <c r="DC18" s="1325"/>
      <c r="DD18" s="1325"/>
      <c r="DE18" s="1325"/>
      <c r="DF18" s="1325"/>
      <c r="DG18" s="1325"/>
      <c r="DH18" s="1325"/>
      <c r="DI18" s="1325"/>
      <c r="DJ18" s="1325"/>
      <c r="DK18" s="1325"/>
      <c r="DL18" s="1325"/>
      <c r="DM18" s="1325"/>
      <c r="DN18" s="1325"/>
      <c r="DO18" s="1325"/>
      <c r="DP18" s="1325"/>
      <c r="DQ18" s="1325"/>
      <c r="DR18" s="1325"/>
      <c r="DS18" s="1325"/>
      <c r="DT18" s="1325"/>
      <c r="DU18" s="1325"/>
      <c r="DV18" s="1325"/>
      <c r="DW18" s="1325"/>
      <c r="DX18" s="1325"/>
      <c r="DY18" s="1325"/>
      <c r="DZ18" s="1325"/>
      <c r="EA18" s="1325"/>
      <c r="EB18" s="1325"/>
      <c r="EC18" s="1325"/>
      <c r="ED18" s="1325"/>
      <c r="EE18" s="1325"/>
      <c r="EF18" s="1325"/>
      <c r="EG18" s="1325"/>
      <c r="EH18" s="1325"/>
      <c r="EI18" s="1325"/>
      <c r="EJ18" s="1325"/>
      <c r="EK18" s="1325"/>
      <c r="EL18" s="1325"/>
      <c r="EM18" s="1325"/>
      <c r="EN18" s="1325"/>
      <c r="EO18" s="1325"/>
      <c r="EP18" s="1325"/>
      <c r="EQ18" s="1325"/>
      <c r="ER18" s="1325"/>
      <c r="ES18" s="1325"/>
      <c r="ET18" s="1325"/>
      <c r="EU18" s="1325"/>
      <c r="EV18" s="1325"/>
      <c r="EW18" s="1325"/>
      <c r="EX18" s="1325"/>
      <c r="EY18" s="1325"/>
      <c r="EZ18" s="1325"/>
      <c r="FA18" s="1325"/>
      <c r="FB18" s="1325"/>
      <c r="FC18" s="1325"/>
      <c r="FD18" s="1325"/>
      <c r="FE18" s="1325"/>
      <c r="FF18" s="1325"/>
      <c r="FG18" s="1325"/>
      <c r="FH18" s="1325"/>
      <c r="FI18" s="1325"/>
      <c r="FJ18" s="1325"/>
      <c r="FK18" s="1325"/>
      <c r="FL18" s="1325"/>
      <c r="FM18" s="1325"/>
      <c r="FN18" s="1325"/>
      <c r="FO18" s="1325"/>
      <c r="FP18" s="1325"/>
      <c r="FQ18" s="1325"/>
      <c r="FR18" s="1325"/>
      <c r="FS18" s="1325"/>
      <c r="FT18" s="1325"/>
      <c r="FU18" s="1325"/>
      <c r="FV18" s="1325"/>
      <c r="FW18" s="1325"/>
      <c r="FX18" s="1325"/>
      <c r="FY18" s="1325"/>
      <c r="FZ18" s="1325"/>
      <c r="GA18" s="1325"/>
      <c r="GB18" s="1325"/>
      <c r="GC18" s="1325"/>
      <c r="GD18" s="1325"/>
      <c r="GE18" s="1325"/>
      <c r="GF18" s="1325"/>
      <c r="GG18" s="1325"/>
      <c r="GH18" s="1325"/>
      <c r="GI18" s="1325"/>
      <c r="GJ18" s="1325"/>
      <c r="GK18" s="1325"/>
      <c r="GL18" s="1325"/>
      <c r="GM18" s="1325"/>
      <c r="GN18" s="1325"/>
      <c r="GO18" s="1325"/>
      <c r="GP18" s="1325"/>
      <c r="GQ18" s="1325"/>
      <c r="GR18" s="1325"/>
      <c r="GS18" s="1325"/>
      <c r="GT18" s="1325"/>
      <c r="GU18" s="1325"/>
      <c r="GV18" s="1325"/>
      <c r="GW18" s="1325"/>
      <c r="GX18" s="1325"/>
      <c r="GY18" s="1325"/>
      <c r="GZ18" s="1325"/>
      <c r="HA18" s="1325"/>
      <c r="HB18" s="1325"/>
      <c r="HC18" s="1325"/>
      <c r="HD18" s="1325"/>
      <c r="HE18" s="1325"/>
      <c r="HF18" s="1325"/>
      <c r="HG18" s="1325"/>
      <c r="HH18" s="1325"/>
      <c r="HI18" s="1325"/>
      <c r="HJ18" s="1325"/>
      <c r="HK18" s="1325"/>
      <c r="HL18" s="1325"/>
      <c r="HM18" s="1325"/>
      <c r="HN18" s="1325"/>
      <c r="HO18" s="1325"/>
      <c r="HP18" s="1325"/>
      <c r="HQ18" s="1325"/>
      <c r="HR18" s="1325"/>
      <c r="HS18" s="1325"/>
      <c r="HT18" s="1325"/>
      <c r="HU18" s="1325"/>
      <c r="HV18" s="1325"/>
      <c r="HW18" s="1325"/>
      <c r="HX18" s="1325"/>
      <c r="HY18" s="1325"/>
      <c r="HZ18" s="1325"/>
      <c r="IA18" s="1325"/>
      <c r="IB18" s="1325"/>
      <c r="IC18" s="1325"/>
      <c r="ID18" s="1325"/>
      <c r="IE18" s="1325"/>
      <c r="IF18" s="1325"/>
      <c r="IG18" s="1325"/>
      <c r="IH18" s="1325"/>
      <c r="II18" s="1325"/>
      <c r="IJ18" s="1325"/>
      <c r="IK18" s="1325"/>
      <c r="IL18" s="1325"/>
      <c r="IM18" s="1325"/>
      <c r="IN18" s="1325"/>
      <c r="IO18" s="1325"/>
      <c r="IP18" s="1325"/>
      <c r="IQ18" s="1325"/>
      <c r="IR18" s="1325"/>
      <c r="IS18" s="1325"/>
      <c r="IT18" s="1325"/>
      <c r="IU18" s="1325"/>
      <c r="IV18" s="1325"/>
    </row>
    <row r="19" spans="1:256" ht="48" customHeight="1">
      <c r="A19" s="1365" t="s">
        <v>791</v>
      </c>
      <c r="B19" s="1366" t="s">
        <v>407</v>
      </c>
      <c r="C19" s="1367"/>
      <c r="D19" s="1367"/>
      <c r="E19" s="1325"/>
      <c r="F19" s="1325"/>
      <c r="G19" s="1325"/>
      <c r="H19" s="1325"/>
      <c r="I19" s="1325"/>
      <c r="J19" s="1325"/>
      <c r="K19" s="1325"/>
      <c r="L19" s="1325"/>
      <c r="M19" s="1325"/>
      <c r="N19" s="1325"/>
      <c r="O19" s="1325"/>
      <c r="P19" s="1325"/>
      <c r="Q19" s="1325"/>
      <c r="R19" s="1325"/>
      <c r="S19" s="1325"/>
      <c r="T19" s="1325"/>
      <c r="U19" s="1325"/>
      <c r="V19" s="1325"/>
      <c r="W19" s="1325"/>
      <c r="X19" s="1325"/>
      <c r="Y19" s="1325"/>
      <c r="Z19" s="1325"/>
      <c r="AA19" s="1325"/>
      <c r="AB19" s="1325"/>
      <c r="AC19" s="1325"/>
      <c r="AD19" s="1325"/>
      <c r="AE19" s="1325"/>
      <c r="AF19" s="1325"/>
      <c r="AG19" s="1325"/>
      <c r="AH19" s="1325"/>
      <c r="AI19" s="1325"/>
      <c r="AJ19" s="1325"/>
      <c r="AK19" s="1325"/>
      <c r="AL19" s="1325"/>
      <c r="AM19" s="1325"/>
      <c r="AN19" s="1325"/>
      <c r="AO19" s="1325"/>
      <c r="AP19" s="1325"/>
      <c r="AQ19" s="1325"/>
      <c r="AR19" s="1325"/>
      <c r="AS19" s="1325"/>
      <c r="AT19" s="1325"/>
      <c r="AU19" s="1325"/>
      <c r="AV19" s="1325"/>
      <c r="AW19" s="1325"/>
      <c r="AX19" s="1325"/>
      <c r="AY19" s="1325"/>
      <c r="AZ19" s="1325"/>
      <c r="BA19" s="1325"/>
      <c r="BB19" s="1325"/>
      <c r="BC19" s="1325"/>
      <c r="BD19" s="1325"/>
      <c r="BE19" s="1325"/>
      <c r="BF19" s="1325"/>
      <c r="BG19" s="1325"/>
      <c r="BH19" s="1325"/>
      <c r="BI19" s="1325"/>
      <c r="BJ19" s="1325"/>
      <c r="BK19" s="1325"/>
      <c r="BL19" s="1325"/>
      <c r="BM19" s="1325"/>
      <c r="BN19" s="1325"/>
      <c r="BO19" s="1325"/>
      <c r="BP19" s="1325"/>
      <c r="BQ19" s="1325"/>
      <c r="BR19" s="1325"/>
      <c r="BS19" s="1325"/>
      <c r="BT19" s="1325"/>
      <c r="BU19" s="1325"/>
      <c r="BV19" s="1325"/>
      <c r="BW19" s="1325"/>
      <c r="BX19" s="1325"/>
      <c r="BY19" s="1325"/>
      <c r="BZ19" s="1325"/>
      <c r="CA19" s="1325"/>
      <c r="CB19" s="1325"/>
      <c r="CC19" s="1325"/>
      <c r="CD19" s="1325"/>
      <c r="CE19" s="1325"/>
      <c r="CF19" s="1325"/>
      <c r="CG19" s="1325"/>
      <c r="CH19" s="1325"/>
      <c r="CI19" s="1325"/>
      <c r="CJ19" s="1325"/>
      <c r="CK19" s="1325"/>
      <c r="CL19" s="1325"/>
      <c r="CM19" s="1325"/>
      <c r="CN19" s="1325"/>
      <c r="CO19" s="1325"/>
      <c r="CP19" s="1325"/>
      <c r="CQ19" s="1325"/>
      <c r="CR19" s="1325"/>
      <c r="CS19" s="1325"/>
      <c r="CT19" s="1325"/>
      <c r="CU19" s="1325"/>
      <c r="CV19" s="1325"/>
      <c r="CW19" s="1325"/>
      <c r="CX19" s="1325"/>
      <c r="CY19" s="1325"/>
      <c r="CZ19" s="1325"/>
      <c r="DA19" s="1325"/>
      <c r="DB19" s="1325"/>
      <c r="DC19" s="1325"/>
      <c r="DD19" s="1325"/>
      <c r="DE19" s="1325"/>
      <c r="DF19" s="1325"/>
      <c r="DG19" s="1325"/>
      <c r="DH19" s="1325"/>
      <c r="DI19" s="1325"/>
      <c r="DJ19" s="1325"/>
      <c r="DK19" s="1325"/>
      <c r="DL19" s="1325"/>
      <c r="DM19" s="1325"/>
      <c r="DN19" s="1325"/>
      <c r="DO19" s="1325"/>
      <c r="DP19" s="1325"/>
      <c r="DQ19" s="1325"/>
      <c r="DR19" s="1325"/>
      <c r="DS19" s="1325"/>
      <c r="DT19" s="1325"/>
      <c r="DU19" s="1325"/>
      <c r="DV19" s="1325"/>
      <c r="DW19" s="1325"/>
      <c r="DX19" s="1325"/>
      <c r="DY19" s="1325"/>
      <c r="DZ19" s="1325"/>
      <c r="EA19" s="1325"/>
      <c r="EB19" s="1325"/>
      <c r="EC19" s="1325"/>
      <c r="ED19" s="1325"/>
      <c r="EE19" s="1325"/>
      <c r="EF19" s="1325"/>
      <c r="EG19" s="1325"/>
      <c r="EH19" s="1325"/>
      <c r="EI19" s="1325"/>
      <c r="EJ19" s="1325"/>
      <c r="EK19" s="1325"/>
      <c r="EL19" s="1325"/>
      <c r="EM19" s="1325"/>
      <c r="EN19" s="1325"/>
      <c r="EO19" s="1325"/>
      <c r="EP19" s="1325"/>
      <c r="EQ19" s="1325"/>
      <c r="ER19" s="1325"/>
      <c r="ES19" s="1325"/>
      <c r="ET19" s="1325"/>
      <c r="EU19" s="1325"/>
      <c r="EV19" s="1325"/>
      <c r="EW19" s="1325"/>
      <c r="EX19" s="1325"/>
      <c r="EY19" s="1325"/>
      <c r="EZ19" s="1325"/>
      <c r="FA19" s="1325"/>
      <c r="FB19" s="1325"/>
      <c r="FC19" s="1325"/>
      <c r="FD19" s="1325"/>
      <c r="FE19" s="1325"/>
      <c r="FF19" s="1325"/>
      <c r="FG19" s="1325"/>
      <c r="FH19" s="1325"/>
      <c r="FI19" s="1325"/>
      <c r="FJ19" s="1325"/>
      <c r="FK19" s="1325"/>
      <c r="FL19" s="1325"/>
      <c r="FM19" s="1325"/>
      <c r="FN19" s="1325"/>
      <c r="FO19" s="1325"/>
      <c r="FP19" s="1325"/>
      <c r="FQ19" s="1325"/>
      <c r="FR19" s="1325"/>
      <c r="FS19" s="1325"/>
      <c r="FT19" s="1325"/>
      <c r="FU19" s="1325"/>
      <c r="FV19" s="1325"/>
      <c r="FW19" s="1325"/>
      <c r="FX19" s="1325"/>
      <c r="FY19" s="1325"/>
      <c r="FZ19" s="1325"/>
      <c r="GA19" s="1325"/>
      <c r="GB19" s="1325"/>
      <c r="GC19" s="1325"/>
      <c r="GD19" s="1325"/>
      <c r="GE19" s="1325"/>
      <c r="GF19" s="1325"/>
      <c r="GG19" s="1325"/>
      <c r="GH19" s="1325"/>
      <c r="GI19" s="1325"/>
      <c r="GJ19" s="1325"/>
      <c r="GK19" s="1325"/>
      <c r="GL19" s="1325"/>
      <c r="GM19" s="1325"/>
      <c r="GN19" s="1325"/>
      <c r="GO19" s="1325"/>
      <c r="GP19" s="1325"/>
      <c r="GQ19" s="1325"/>
      <c r="GR19" s="1325"/>
      <c r="GS19" s="1325"/>
      <c r="GT19" s="1325"/>
      <c r="GU19" s="1325"/>
      <c r="GV19" s="1325"/>
      <c r="GW19" s="1325"/>
      <c r="GX19" s="1325"/>
      <c r="GY19" s="1325"/>
      <c r="GZ19" s="1325"/>
      <c r="HA19" s="1325"/>
      <c r="HB19" s="1325"/>
      <c r="HC19" s="1325"/>
      <c r="HD19" s="1325"/>
      <c r="HE19" s="1325"/>
      <c r="HF19" s="1325"/>
      <c r="HG19" s="1325"/>
      <c r="HH19" s="1325"/>
      <c r="HI19" s="1325"/>
      <c r="HJ19" s="1325"/>
      <c r="HK19" s="1325"/>
      <c r="HL19" s="1325"/>
      <c r="HM19" s="1325"/>
      <c r="HN19" s="1325"/>
      <c r="HO19" s="1325"/>
      <c r="HP19" s="1325"/>
      <c r="HQ19" s="1325"/>
      <c r="HR19" s="1325"/>
      <c r="HS19" s="1325"/>
      <c r="HT19" s="1325"/>
      <c r="HU19" s="1325"/>
      <c r="HV19" s="1325"/>
      <c r="HW19" s="1325"/>
      <c r="HX19" s="1325"/>
      <c r="HY19" s="1325"/>
      <c r="HZ19" s="1325"/>
      <c r="IA19" s="1325"/>
      <c r="IB19" s="1325"/>
      <c r="IC19" s="1325"/>
      <c r="ID19" s="1325"/>
      <c r="IE19" s="1325"/>
      <c r="IF19" s="1325"/>
      <c r="IG19" s="1325"/>
      <c r="IH19" s="1325"/>
      <c r="II19" s="1325"/>
      <c r="IJ19" s="1325"/>
      <c r="IK19" s="1325"/>
      <c r="IL19" s="1325"/>
      <c r="IM19" s="1325"/>
      <c r="IN19" s="1325"/>
      <c r="IO19" s="1325"/>
      <c r="IP19" s="1325"/>
      <c r="IQ19" s="1325"/>
      <c r="IR19" s="1325"/>
      <c r="IS19" s="1325"/>
      <c r="IT19" s="1325"/>
      <c r="IU19" s="1325"/>
      <c r="IV19" s="1325"/>
    </row>
    <row r="20" spans="1:256" ht="48" customHeight="1">
      <c r="A20" s="1365" t="s">
        <v>792</v>
      </c>
      <c r="B20" s="1366" t="s">
        <v>409</v>
      </c>
      <c r="C20" s="1367"/>
      <c r="D20" s="1367"/>
      <c r="E20" s="1325"/>
      <c r="F20" s="1325"/>
      <c r="G20" s="1325"/>
      <c r="H20" s="1325"/>
      <c r="I20" s="1325"/>
      <c r="J20" s="1325"/>
      <c r="K20" s="1325"/>
      <c r="L20" s="1325"/>
      <c r="M20" s="1325"/>
      <c r="N20" s="1325"/>
      <c r="O20" s="1325"/>
      <c r="P20" s="1325"/>
      <c r="Q20" s="1325"/>
      <c r="R20" s="1325"/>
      <c r="S20" s="1325"/>
      <c r="T20" s="1325"/>
      <c r="U20" s="1325"/>
      <c r="V20" s="1325"/>
      <c r="W20" s="1325"/>
      <c r="X20" s="1325"/>
      <c r="Y20" s="1325"/>
      <c r="Z20" s="1325"/>
      <c r="AA20" s="1325"/>
      <c r="AB20" s="1325"/>
      <c r="AC20" s="1325"/>
      <c r="AD20" s="1325"/>
      <c r="AE20" s="1325"/>
      <c r="AF20" s="1325"/>
      <c r="AG20" s="1325"/>
      <c r="AH20" s="1325"/>
      <c r="AI20" s="1325"/>
      <c r="AJ20" s="1325"/>
      <c r="AK20" s="1325"/>
      <c r="AL20" s="1325"/>
      <c r="AM20" s="1325"/>
      <c r="AN20" s="1325"/>
      <c r="AO20" s="1325"/>
      <c r="AP20" s="1325"/>
      <c r="AQ20" s="1325"/>
      <c r="AR20" s="1325"/>
      <c r="AS20" s="1325"/>
      <c r="AT20" s="1325"/>
      <c r="AU20" s="1325"/>
      <c r="AV20" s="1325"/>
      <c r="AW20" s="1325"/>
      <c r="AX20" s="1325"/>
      <c r="AY20" s="1325"/>
      <c r="AZ20" s="1325"/>
      <c r="BA20" s="1325"/>
      <c r="BB20" s="1325"/>
      <c r="BC20" s="1325"/>
      <c r="BD20" s="1325"/>
      <c r="BE20" s="1325"/>
      <c r="BF20" s="1325"/>
      <c r="BG20" s="1325"/>
      <c r="BH20" s="1325"/>
      <c r="BI20" s="1325"/>
      <c r="BJ20" s="1325"/>
      <c r="BK20" s="1325"/>
      <c r="BL20" s="1325"/>
      <c r="BM20" s="1325"/>
      <c r="BN20" s="1325"/>
      <c r="BO20" s="1325"/>
      <c r="BP20" s="1325"/>
      <c r="BQ20" s="1325"/>
      <c r="BR20" s="1325"/>
      <c r="BS20" s="1325"/>
      <c r="BT20" s="1325"/>
      <c r="BU20" s="1325"/>
      <c r="BV20" s="1325"/>
      <c r="BW20" s="1325"/>
      <c r="BX20" s="1325"/>
      <c r="BY20" s="1325"/>
      <c r="BZ20" s="1325"/>
      <c r="CA20" s="1325"/>
      <c r="CB20" s="1325"/>
      <c r="CC20" s="1325"/>
      <c r="CD20" s="1325"/>
      <c r="CE20" s="1325"/>
      <c r="CF20" s="1325"/>
      <c r="CG20" s="1325"/>
      <c r="CH20" s="1325"/>
      <c r="CI20" s="1325"/>
      <c r="CJ20" s="1325"/>
      <c r="CK20" s="1325"/>
      <c r="CL20" s="1325"/>
      <c r="CM20" s="1325"/>
      <c r="CN20" s="1325"/>
      <c r="CO20" s="1325"/>
      <c r="CP20" s="1325"/>
      <c r="CQ20" s="1325"/>
      <c r="CR20" s="1325"/>
      <c r="CS20" s="1325"/>
      <c r="CT20" s="1325"/>
      <c r="CU20" s="1325"/>
      <c r="CV20" s="1325"/>
      <c r="CW20" s="1325"/>
      <c r="CX20" s="1325"/>
      <c r="CY20" s="1325"/>
      <c r="CZ20" s="1325"/>
      <c r="DA20" s="1325"/>
      <c r="DB20" s="1325"/>
      <c r="DC20" s="1325"/>
      <c r="DD20" s="1325"/>
      <c r="DE20" s="1325"/>
      <c r="DF20" s="1325"/>
      <c r="DG20" s="1325"/>
      <c r="DH20" s="1325"/>
      <c r="DI20" s="1325"/>
      <c r="DJ20" s="1325"/>
      <c r="DK20" s="1325"/>
      <c r="DL20" s="1325"/>
      <c r="DM20" s="1325"/>
      <c r="DN20" s="1325"/>
      <c r="DO20" s="1325"/>
      <c r="DP20" s="1325"/>
      <c r="DQ20" s="1325"/>
      <c r="DR20" s="1325"/>
      <c r="DS20" s="1325"/>
      <c r="DT20" s="1325"/>
      <c r="DU20" s="1325"/>
      <c r="DV20" s="1325"/>
      <c r="DW20" s="1325"/>
      <c r="DX20" s="1325"/>
      <c r="DY20" s="1325"/>
      <c r="DZ20" s="1325"/>
      <c r="EA20" s="1325"/>
      <c r="EB20" s="1325"/>
      <c r="EC20" s="1325"/>
      <c r="ED20" s="1325"/>
      <c r="EE20" s="1325"/>
      <c r="EF20" s="1325"/>
      <c r="EG20" s="1325"/>
      <c r="EH20" s="1325"/>
      <c r="EI20" s="1325"/>
      <c r="EJ20" s="1325"/>
      <c r="EK20" s="1325"/>
      <c r="EL20" s="1325"/>
      <c r="EM20" s="1325"/>
      <c r="EN20" s="1325"/>
      <c r="EO20" s="1325"/>
      <c r="EP20" s="1325"/>
      <c r="EQ20" s="1325"/>
      <c r="ER20" s="1325"/>
      <c r="ES20" s="1325"/>
      <c r="ET20" s="1325"/>
      <c r="EU20" s="1325"/>
      <c r="EV20" s="1325"/>
      <c r="EW20" s="1325"/>
      <c r="EX20" s="1325"/>
      <c r="EY20" s="1325"/>
      <c r="EZ20" s="1325"/>
      <c r="FA20" s="1325"/>
      <c r="FB20" s="1325"/>
      <c r="FC20" s="1325"/>
      <c r="FD20" s="1325"/>
      <c r="FE20" s="1325"/>
      <c r="FF20" s="1325"/>
      <c r="FG20" s="1325"/>
      <c r="FH20" s="1325"/>
      <c r="FI20" s="1325"/>
      <c r="FJ20" s="1325"/>
      <c r="FK20" s="1325"/>
      <c r="FL20" s="1325"/>
      <c r="FM20" s="1325"/>
      <c r="FN20" s="1325"/>
      <c r="FO20" s="1325"/>
      <c r="FP20" s="1325"/>
      <c r="FQ20" s="1325"/>
      <c r="FR20" s="1325"/>
      <c r="FS20" s="1325"/>
      <c r="FT20" s="1325"/>
      <c r="FU20" s="1325"/>
      <c r="FV20" s="1325"/>
      <c r="FW20" s="1325"/>
      <c r="FX20" s="1325"/>
      <c r="FY20" s="1325"/>
      <c r="FZ20" s="1325"/>
      <c r="GA20" s="1325"/>
      <c r="GB20" s="1325"/>
      <c r="GC20" s="1325"/>
      <c r="GD20" s="1325"/>
      <c r="GE20" s="1325"/>
      <c r="GF20" s="1325"/>
      <c r="GG20" s="1325"/>
      <c r="GH20" s="1325"/>
      <c r="GI20" s="1325"/>
      <c r="GJ20" s="1325"/>
      <c r="GK20" s="1325"/>
      <c r="GL20" s="1325"/>
      <c r="GM20" s="1325"/>
      <c r="GN20" s="1325"/>
      <c r="GO20" s="1325"/>
      <c r="GP20" s="1325"/>
      <c r="GQ20" s="1325"/>
      <c r="GR20" s="1325"/>
      <c r="GS20" s="1325"/>
      <c r="GT20" s="1325"/>
      <c r="GU20" s="1325"/>
      <c r="GV20" s="1325"/>
      <c r="GW20" s="1325"/>
      <c r="GX20" s="1325"/>
      <c r="GY20" s="1325"/>
      <c r="GZ20" s="1325"/>
      <c r="HA20" s="1325"/>
      <c r="HB20" s="1325"/>
      <c r="HC20" s="1325"/>
      <c r="HD20" s="1325"/>
      <c r="HE20" s="1325"/>
      <c r="HF20" s="1325"/>
      <c r="HG20" s="1325"/>
      <c r="HH20" s="1325"/>
      <c r="HI20" s="1325"/>
      <c r="HJ20" s="1325"/>
      <c r="HK20" s="1325"/>
      <c r="HL20" s="1325"/>
      <c r="HM20" s="1325"/>
      <c r="HN20" s="1325"/>
      <c r="HO20" s="1325"/>
      <c r="HP20" s="1325"/>
      <c r="HQ20" s="1325"/>
      <c r="HR20" s="1325"/>
      <c r="HS20" s="1325"/>
      <c r="HT20" s="1325"/>
      <c r="HU20" s="1325"/>
      <c r="HV20" s="1325"/>
      <c r="HW20" s="1325"/>
      <c r="HX20" s="1325"/>
      <c r="HY20" s="1325"/>
      <c r="HZ20" s="1325"/>
      <c r="IA20" s="1325"/>
      <c r="IB20" s="1325"/>
      <c r="IC20" s="1325"/>
      <c r="ID20" s="1325"/>
      <c r="IE20" s="1325"/>
      <c r="IF20" s="1325"/>
      <c r="IG20" s="1325"/>
      <c r="IH20" s="1325"/>
      <c r="II20" s="1325"/>
      <c r="IJ20" s="1325"/>
      <c r="IK20" s="1325"/>
      <c r="IL20" s="1325"/>
      <c r="IM20" s="1325"/>
      <c r="IN20" s="1325"/>
      <c r="IO20" s="1325"/>
      <c r="IP20" s="1325"/>
      <c r="IQ20" s="1325"/>
      <c r="IR20" s="1325"/>
      <c r="IS20" s="1325"/>
      <c r="IT20" s="1325"/>
      <c r="IU20" s="1325"/>
      <c r="IV20" s="1325"/>
    </row>
    <row r="21" spans="1:256" ht="48" customHeight="1">
      <c r="A21" s="1365" t="s">
        <v>793</v>
      </c>
      <c r="B21" s="1366" t="s">
        <v>411</v>
      </c>
      <c r="C21" s="1367"/>
      <c r="D21" s="1367"/>
      <c r="E21" s="1325"/>
      <c r="F21" s="1325"/>
      <c r="G21" s="1325"/>
      <c r="H21" s="1325"/>
      <c r="I21" s="1325"/>
      <c r="J21" s="1325"/>
      <c r="K21" s="1325"/>
      <c r="L21" s="1325"/>
      <c r="M21" s="1325"/>
      <c r="N21" s="1325"/>
      <c r="O21" s="1325"/>
      <c r="P21" s="1325"/>
      <c r="Q21" s="1325"/>
      <c r="R21" s="1325"/>
      <c r="S21" s="1325"/>
      <c r="T21" s="1325"/>
      <c r="U21" s="1325"/>
      <c r="V21" s="1325"/>
      <c r="W21" s="1325"/>
      <c r="X21" s="1325"/>
      <c r="Y21" s="1325"/>
      <c r="Z21" s="1325"/>
      <c r="AA21" s="1325"/>
      <c r="AB21" s="1325"/>
      <c r="AC21" s="1325"/>
      <c r="AD21" s="1325"/>
      <c r="AE21" s="1325"/>
      <c r="AF21" s="1325"/>
      <c r="AG21" s="1325"/>
      <c r="AH21" s="1325"/>
      <c r="AI21" s="1325"/>
      <c r="AJ21" s="1325"/>
      <c r="AK21" s="1325"/>
      <c r="AL21" s="1325"/>
      <c r="AM21" s="1325"/>
      <c r="AN21" s="1325"/>
      <c r="AO21" s="1325"/>
      <c r="AP21" s="1325"/>
      <c r="AQ21" s="1325"/>
      <c r="AR21" s="1325"/>
      <c r="AS21" s="1325"/>
      <c r="AT21" s="1325"/>
      <c r="AU21" s="1325"/>
      <c r="AV21" s="1325"/>
      <c r="AW21" s="1325"/>
      <c r="AX21" s="1325"/>
      <c r="AY21" s="1325"/>
      <c r="AZ21" s="1325"/>
      <c r="BA21" s="1325"/>
      <c r="BB21" s="1325"/>
      <c r="BC21" s="1325"/>
      <c r="BD21" s="1325"/>
      <c r="BE21" s="1325"/>
      <c r="BF21" s="1325"/>
      <c r="BG21" s="1325"/>
      <c r="BH21" s="1325"/>
      <c r="BI21" s="1325"/>
      <c r="BJ21" s="1325"/>
      <c r="BK21" s="1325"/>
      <c r="BL21" s="1325"/>
      <c r="BM21" s="1325"/>
      <c r="BN21" s="1325"/>
      <c r="BO21" s="1325"/>
      <c r="BP21" s="1325"/>
      <c r="BQ21" s="1325"/>
      <c r="BR21" s="1325"/>
      <c r="BS21" s="1325"/>
      <c r="BT21" s="1325"/>
      <c r="BU21" s="1325"/>
      <c r="BV21" s="1325"/>
      <c r="BW21" s="1325"/>
      <c r="BX21" s="1325"/>
      <c r="BY21" s="1325"/>
      <c r="BZ21" s="1325"/>
      <c r="CA21" s="1325"/>
      <c r="CB21" s="1325"/>
      <c r="CC21" s="1325"/>
      <c r="CD21" s="1325"/>
      <c r="CE21" s="1325"/>
      <c r="CF21" s="1325"/>
      <c r="CG21" s="1325"/>
      <c r="CH21" s="1325"/>
      <c r="CI21" s="1325"/>
      <c r="CJ21" s="1325"/>
      <c r="CK21" s="1325"/>
      <c r="CL21" s="1325"/>
      <c r="CM21" s="1325"/>
      <c r="CN21" s="1325"/>
      <c r="CO21" s="1325"/>
      <c r="CP21" s="1325"/>
      <c r="CQ21" s="1325"/>
      <c r="CR21" s="1325"/>
      <c r="CS21" s="1325"/>
      <c r="CT21" s="1325"/>
      <c r="CU21" s="1325"/>
      <c r="CV21" s="1325"/>
      <c r="CW21" s="1325"/>
      <c r="CX21" s="1325"/>
      <c r="CY21" s="1325"/>
      <c r="CZ21" s="1325"/>
      <c r="DA21" s="1325"/>
      <c r="DB21" s="1325"/>
      <c r="DC21" s="1325"/>
      <c r="DD21" s="1325"/>
      <c r="DE21" s="1325"/>
      <c r="DF21" s="1325"/>
      <c r="DG21" s="1325"/>
      <c r="DH21" s="1325"/>
      <c r="DI21" s="1325"/>
      <c r="DJ21" s="1325"/>
      <c r="DK21" s="1325"/>
      <c r="DL21" s="1325"/>
      <c r="DM21" s="1325"/>
      <c r="DN21" s="1325"/>
      <c r="DO21" s="1325"/>
      <c r="DP21" s="1325"/>
      <c r="DQ21" s="1325"/>
      <c r="DR21" s="1325"/>
      <c r="DS21" s="1325"/>
      <c r="DT21" s="1325"/>
      <c r="DU21" s="1325"/>
      <c r="DV21" s="1325"/>
      <c r="DW21" s="1325"/>
      <c r="DX21" s="1325"/>
      <c r="DY21" s="1325"/>
      <c r="DZ21" s="1325"/>
      <c r="EA21" s="1325"/>
      <c r="EB21" s="1325"/>
      <c r="EC21" s="1325"/>
      <c r="ED21" s="1325"/>
      <c r="EE21" s="1325"/>
      <c r="EF21" s="1325"/>
      <c r="EG21" s="1325"/>
      <c r="EH21" s="1325"/>
      <c r="EI21" s="1325"/>
      <c r="EJ21" s="1325"/>
      <c r="EK21" s="1325"/>
      <c r="EL21" s="1325"/>
      <c r="EM21" s="1325"/>
      <c r="EN21" s="1325"/>
      <c r="EO21" s="1325"/>
      <c r="EP21" s="1325"/>
      <c r="EQ21" s="1325"/>
      <c r="ER21" s="1325"/>
      <c r="ES21" s="1325"/>
      <c r="ET21" s="1325"/>
      <c r="EU21" s="1325"/>
      <c r="EV21" s="1325"/>
      <c r="EW21" s="1325"/>
      <c r="EX21" s="1325"/>
      <c r="EY21" s="1325"/>
      <c r="EZ21" s="1325"/>
      <c r="FA21" s="1325"/>
      <c r="FB21" s="1325"/>
      <c r="FC21" s="1325"/>
      <c r="FD21" s="1325"/>
      <c r="FE21" s="1325"/>
      <c r="FF21" s="1325"/>
      <c r="FG21" s="1325"/>
      <c r="FH21" s="1325"/>
      <c r="FI21" s="1325"/>
      <c r="FJ21" s="1325"/>
      <c r="FK21" s="1325"/>
      <c r="FL21" s="1325"/>
      <c r="FM21" s="1325"/>
      <c r="FN21" s="1325"/>
      <c r="FO21" s="1325"/>
      <c r="FP21" s="1325"/>
      <c r="FQ21" s="1325"/>
      <c r="FR21" s="1325"/>
      <c r="FS21" s="1325"/>
      <c r="FT21" s="1325"/>
      <c r="FU21" s="1325"/>
      <c r="FV21" s="1325"/>
      <c r="FW21" s="1325"/>
      <c r="FX21" s="1325"/>
      <c r="FY21" s="1325"/>
      <c r="FZ21" s="1325"/>
      <c r="GA21" s="1325"/>
      <c r="GB21" s="1325"/>
      <c r="GC21" s="1325"/>
      <c r="GD21" s="1325"/>
      <c r="GE21" s="1325"/>
      <c r="GF21" s="1325"/>
      <c r="GG21" s="1325"/>
      <c r="GH21" s="1325"/>
      <c r="GI21" s="1325"/>
      <c r="GJ21" s="1325"/>
      <c r="GK21" s="1325"/>
      <c r="GL21" s="1325"/>
      <c r="GM21" s="1325"/>
      <c r="GN21" s="1325"/>
      <c r="GO21" s="1325"/>
      <c r="GP21" s="1325"/>
      <c r="GQ21" s="1325"/>
      <c r="GR21" s="1325"/>
      <c r="GS21" s="1325"/>
      <c r="GT21" s="1325"/>
      <c r="GU21" s="1325"/>
      <c r="GV21" s="1325"/>
      <c r="GW21" s="1325"/>
      <c r="GX21" s="1325"/>
      <c r="GY21" s="1325"/>
      <c r="GZ21" s="1325"/>
      <c r="HA21" s="1325"/>
      <c r="HB21" s="1325"/>
      <c r="HC21" s="1325"/>
      <c r="HD21" s="1325"/>
      <c r="HE21" s="1325"/>
      <c r="HF21" s="1325"/>
      <c r="HG21" s="1325"/>
      <c r="HH21" s="1325"/>
      <c r="HI21" s="1325"/>
      <c r="HJ21" s="1325"/>
      <c r="HK21" s="1325"/>
      <c r="HL21" s="1325"/>
      <c r="HM21" s="1325"/>
      <c r="HN21" s="1325"/>
      <c r="HO21" s="1325"/>
      <c r="HP21" s="1325"/>
      <c r="HQ21" s="1325"/>
      <c r="HR21" s="1325"/>
      <c r="HS21" s="1325"/>
      <c r="HT21" s="1325"/>
      <c r="HU21" s="1325"/>
      <c r="HV21" s="1325"/>
      <c r="HW21" s="1325"/>
      <c r="HX21" s="1325"/>
      <c r="HY21" s="1325"/>
      <c r="HZ21" s="1325"/>
      <c r="IA21" s="1325"/>
      <c r="IB21" s="1325"/>
      <c r="IC21" s="1325"/>
      <c r="ID21" s="1325"/>
      <c r="IE21" s="1325"/>
      <c r="IF21" s="1325"/>
      <c r="IG21" s="1325"/>
      <c r="IH21" s="1325"/>
      <c r="II21" s="1325"/>
      <c r="IJ21" s="1325"/>
      <c r="IK21" s="1325"/>
      <c r="IL21" s="1325"/>
      <c r="IM21" s="1325"/>
      <c r="IN21" s="1325"/>
      <c r="IO21" s="1325"/>
      <c r="IP21" s="1325"/>
      <c r="IQ21" s="1325"/>
      <c r="IR21" s="1325"/>
      <c r="IS21" s="1325"/>
      <c r="IT21" s="1325"/>
      <c r="IU21" s="1325"/>
      <c r="IV21" s="1325"/>
    </row>
    <row r="22" spans="1:256" ht="48" customHeight="1">
      <c r="A22" s="1365" t="s">
        <v>794</v>
      </c>
      <c r="B22" s="1366" t="s">
        <v>557</v>
      </c>
      <c r="C22" s="1367">
        <v>37866862</v>
      </c>
      <c r="D22" s="1367">
        <v>1376785</v>
      </c>
      <c r="E22" s="1325"/>
      <c r="F22" s="1325"/>
      <c r="G22" s="1325"/>
      <c r="H22" s="1325"/>
      <c r="I22" s="1325"/>
      <c r="J22" s="1325"/>
      <c r="K22" s="1325"/>
      <c r="L22" s="1325"/>
      <c r="M22" s="1325"/>
      <c r="N22" s="1325"/>
      <c r="O22" s="1325"/>
      <c r="P22" s="1325"/>
      <c r="Q22" s="1325"/>
      <c r="R22" s="1325"/>
      <c r="S22" s="1325"/>
      <c r="T22" s="1325"/>
      <c r="U22" s="1325"/>
      <c r="V22" s="1325"/>
      <c r="W22" s="1325"/>
      <c r="X22" s="1325"/>
      <c r="Y22" s="1325"/>
      <c r="Z22" s="1325"/>
      <c r="AA22" s="1325"/>
      <c r="AB22" s="1325"/>
      <c r="AC22" s="1325"/>
      <c r="AD22" s="1325"/>
      <c r="AE22" s="1325"/>
      <c r="AF22" s="1325"/>
      <c r="AG22" s="1325"/>
      <c r="AH22" s="1325"/>
      <c r="AI22" s="1325"/>
      <c r="AJ22" s="1325"/>
      <c r="AK22" s="1325"/>
      <c r="AL22" s="1325"/>
      <c r="AM22" s="1325"/>
      <c r="AN22" s="1325"/>
      <c r="AO22" s="1325"/>
      <c r="AP22" s="1325"/>
      <c r="AQ22" s="1325"/>
      <c r="AR22" s="1325"/>
      <c r="AS22" s="1325"/>
      <c r="AT22" s="1325"/>
      <c r="AU22" s="1325"/>
      <c r="AV22" s="1325"/>
      <c r="AW22" s="1325"/>
      <c r="AX22" s="1325"/>
      <c r="AY22" s="1325"/>
      <c r="AZ22" s="1325"/>
      <c r="BA22" s="1325"/>
      <c r="BB22" s="1325"/>
      <c r="BC22" s="1325"/>
      <c r="BD22" s="1325"/>
      <c r="BE22" s="1325"/>
      <c r="BF22" s="1325"/>
      <c r="BG22" s="1325"/>
      <c r="BH22" s="1325"/>
      <c r="BI22" s="1325"/>
      <c r="BJ22" s="1325"/>
      <c r="BK22" s="1325"/>
      <c r="BL22" s="1325"/>
      <c r="BM22" s="1325"/>
      <c r="BN22" s="1325"/>
      <c r="BO22" s="1325"/>
      <c r="BP22" s="1325"/>
      <c r="BQ22" s="1325"/>
      <c r="BR22" s="1325"/>
      <c r="BS22" s="1325"/>
      <c r="BT22" s="1325"/>
      <c r="BU22" s="1325"/>
      <c r="BV22" s="1325"/>
      <c r="BW22" s="1325"/>
      <c r="BX22" s="1325"/>
      <c r="BY22" s="1325"/>
      <c r="BZ22" s="1325"/>
      <c r="CA22" s="1325"/>
      <c r="CB22" s="1325"/>
      <c r="CC22" s="1325"/>
      <c r="CD22" s="1325"/>
      <c r="CE22" s="1325"/>
      <c r="CF22" s="1325"/>
      <c r="CG22" s="1325"/>
      <c r="CH22" s="1325"/>
      <c r="CI22" s="1325"/>
      <c r="CJ22" s="1325"/>
      <c r="CK22" s="1325"/>
      <c r="CL22" s="1325"/>
      <c r="CM22" s="1325"/>
      <c r="CN22" s="1325"/>
      <c r="CO22" s="1325"/>
      <c r="CP22" s="1325"/>
      <c r="CQ22" s="1325"/>
      <c r="CR22" s="1325"/>
      <c r="CS22" s="1325"/>
      <c r="CT22" s="1325"/>
      <c r="CU22" s="1325"/>
      <c r="CV22" s="1325"/>
      <c r="CW22" s="1325"/>
      <c r="CX22" s="1325"/>
      <c r="CY22" s="1325"/>
      <c r="CZ22" s="1325"/>
      <c r="DA22" s="1325"/>
      <c r="DB22" s="1325"/>
      <c r="DC22" s="1325"/>
      <c r="DD22" s="1325"/>
      <c r="DE22" s="1325"/>
      <c r="DF22" s="1325"/>
      <c r="DG22" s="1325"/>
      <c r="DH22" s="1325"/>
      <c r="DI22" s="1325"/>
      <c r="DJ22" s="1325"/>
      <c r="DK22" s="1325"/>
      <c r="DL22" s="1325"/>
      <c r="DM22" s="1325"/>
      <c r="DN22" s="1325"/>
      <c r="DO22" s="1325"/>
      <c r="DP22" s="1325"/>
      <c r="DQ22" s="1325"/>
      <c r="DR22" s="1325"/>
      <c r="DS22" s="1325"/>
      <c r="DT22" s="1325"/>
      <c r="DU22" s="1325"/>
      <c r="DV22" s="1325"/>
      <c r="DW22" s="1325"/>
      <c r="DX22" s="1325"/>
      <c r="DY22" s="1325"/>
      <c r="DZ22" s="1325"/>
      <c r="EA22" s="1325"/>
      <c r="EB22" s="1325"/>
      <c r="EC22" s="1325"/>
      <c r="ED22" s="1325"/>
      <c r="EE22" s="1325"/>
      <c r="EF22" s="1325"/>
      <c r="EG22" s="1325"/>
      <c r="EH22" s="1325"/>
      <c r="EI22" s="1325"/>
      <c r="EJ22" s="1325"/>
      <c r="EK22" s="1325"/>
      <c r="EL22" s="1325"/>
      <c r="EM22" s="1325"/>
      <c r="EN22" s="1325"/>
      <c r="EO22" s="1325"/>
      <c r="EP22" s="1325"/>
      <c r="EQ22" s="1325"/>
      <c r="ER22" s="1325"/>
      <c r="ES22" s="1325"/>
      <c r="ET22" s="1325"/>
      <c r="EU22" s="1325"/>
      <c r="EV22" s="1325"/>
      <c r="EW22" s="1325"/>
      <c r="EX22" s="1325"/>
      <c r="EY22" s="1325"/>
      <c r="EZ22" s="1325"/>
      <c r="FA22" s="1325"/>
      <c r="FB22" s="1325"/>
      <c r="FC22" s="1325"/>
      <c r="FD22" s="1325"/>
      <c r="FE22" s="1325"/>
      <c r="FF22" s="1325"/>
      <c r="FG22" s="1325"/>
      <c r="FH22" s="1325"/>
      <c r="FI22" s="1325"/>
      <c r="FJ22" s="1325"/>
      <c r="FK22" s="1325"/>
      <c r="FL22" s="1325"/>
      <c r="FM22" s="1325"/>
      <c r="FN22" s="1325"/>
      <c r="FO22" s="1325"/>
      <c r="FP22" s="1325"/>
      <c r="FQ22" s="1325"/>
      <c r="FR22" s="1325"/>
      <c r="FS22" s="1325"/>
      <c r="FT22" s="1325"/>
      <c r="FU22" s="1325"/>
      <c r="FV22" s="1325"/>
      <c r="FW22" s="1325"/>
      <c r="FX22" s="1325"/>
      <c r="FY22" s="1325"/>
      <c r="FZ22" s="1325"/>
      <c r="GA22" s="1325"/>
      <c r="GB22" s="1325"/>
      <c r="GC22" s="1325"/>
      <c r="GD22" s="1325"/>
      <c r="GE22" s="1325"/>
      <c r="GF22" s="1325"/>
      <c r="GG22" s="1325"/>
      <c r="GH22" s="1325"/>
      <c r="GI22" s="1325"/>
      <c r="GJ22" s="1325"/>
      <c r="GK22" s="1325"/>
      <c r="GL22" s="1325"/>
      <c r="GM22" s="1325"/>
      <c r="GN22" s="1325"/>
      <c r="GO22" s="1325"/>
      <c r="GP22" s="1325"/>
      <c r="GQ22" s="1325"/>
      <c r="GR22" s="1325"/>
      <c r="GS22" s="1325"/>
      <c r="GT22" s="1325"/>
      <c r="GU22" s="1325"/>
      <c r="GV22" s="1325"/>
      <c r="GW22" s="1325"/>
      <c r="GX22" s="1325"/>
      <c r="GY22" s="1325"/>
      <c r="GZ22" s="1325"/>
      <c r="HA22" s="1325"/>
      <c r="HB22" s="1325"/>
      <c r="HC22" s="1325"/>
      <c r="HD22" s="1325"/>
      <c r="HE22" s="1325"/>
      <c r="HF22" s="1325"/>
      <c r="HG22" s="1325"/>
      <c r="HH22" s="1325"/>
      <c r="HI22" s="1325"/>
      <c r="HJ22" s="1325"/>
      <c r="HK22" s="1325"/>
      <c r="HL22" s="1325"/>
      <c r="HM22" s="1325"/>
      <c r="HN22" s="1325"/>
      <c r="HO22" s="1325"/>
      <c r="HP22" s="1325"/>
      <c r="HQ22" s="1325"/>
      <c r="HR22" s="1325"/>
      <c r="HS22" s="1325"/>
      <c r="HT22" s="1325"/>
      <c r="HU22" s="1325"/>
      <c r="HV22" s="1325"/>
      <c r="HW22" s="1325"/>
      <c r="HX22" s="1325"/>
      <c r="HY22" s="1325"/>
      <c r="HZ22" s="1325"/>
      <c r="IA22" s="1325"/>
      <c r="IB22" s="1325"/>
      <c r="IC22" s="1325"/>
      <c r="ID22" s="1325"/>
      <c r="IE22" s="1325"/>
      <c r="IF22" s="1325"/>
      <c r="IG22" s="1325"/>
      <c r="IH22" s="1325"/>
      <c r="II22" s="1325"/>
      <c r="IJ22" s="1325"/>
      <c r="IK22" s="1325"/>
      <c r="IL22" s="1325"/>
      <c r="IM22" s="1325"/>
      <c r="IN22" s="1325"/>
      <c r="IO22" s="1325"/>
      <c r="IP22" s="1325"/>
      <c r="IQ22" s="1325"/>
      <c r="IR22" s="1325"/>
      <c r="IS22" s="1325"/>
      <c r="IT22" s="1325"/>
      <c r="IU22" s="1325"/>
      <c r="IV22" s="1325"/>
    </row>
    <row r="23" spans="1:256" ht="48" customHeight="1">
      <c r="A23" s="1368" t="s">
        <v>795</v>
      </c>
      <c r="B23" s="1369" t="s">
        <v>558</v>
      </c>
      <c r="C23" s="1372"/>
      <c r="D23" s="1372"/>
      <c r="E23" s="1325"/>
      <c r="F23" s="1325"/>
      <c r="G23" s="1325"/>
      <c r="H23" s="1325"/>
      <c r="I23" s="1325"/>
      <c r="J23" s="1325"/>
      <c r="K23" s="1325"/>
      <c r="L23" s="1325"/>
      <c r="M23" s="1325"/>
      <c r="N23" s="1325"/>
      <c r="O23" s="1325"/>
      <c r="P23" s="1325"/>
      <c r="Q23" s="1325"/>
      <c r="R23" s="1325"/>
      <c r="S23" s="1325"/>
      <c r="T23" s="1325"/>
      <c r="U23" s="1325"/>
      <c r="V23" s="1325"/>
      <c r="W23" s="1325"/>
      <c r="X23" s="1325"/>
      <c r="Y23" s="1325"/>
      <c r="Z23" s="1325"/>
      <c r="AA23" s="1325"/>
      <c r="AB23" s="1325"/>
      <c r="AC23" s="1325"/>
      <c r="AD23" s="1325"/>
      <c r="AE23" s="1325"/>
      <c r="AF23" s="1325"/>
      <c r="AG23" s="1325"/>
      <c r="AH23" s="1325"/>
      <c r="AI23" s="1325"/>
      <c r="AJ23" s="1325"/>
      <c r="AK23" s="1325"/>
      <c r="AL23" s="1325"/>
      <c r="AM23" s="1325"/>
      <c r="AN23" s="1325"/>
      <c r="AO23" s="1325"/>
      <c r="AP23" s="1325"/>
      <c r="AQ23" s="1325"/>
      <c r="AR23" s="1325"/>
      <c r="AS23" s="1325"/>
      <c r="AT23" s="1325"/>
      <c r="AU23" s="1325"/>
      <c r="AV23" s="1325"/>
      <c r="AW23" s="1325"/>
      <c r="AX23" s="1325"/>
      <c r="AY23" s="1325"/>
      <c r="AZ23" s="1325"/>
      <c r="BA23" s="1325"/>
      <c r="BB23" s="1325"/>
      <c r="BC23" s="1325"/>
      <c r="BD23" s="1325"/>
      <c r="BE23" s="1325"/>
      <c r="BF23" s="1325"/>
      <c r="BG23" s="1325"/>
      <c r="BH23" s="1325"/>
      <c r="BI23" s="1325"/>
      <c r="BJ23" s="1325"/>
      <c r="BK23" s="1325"/>
      <c r="BL23" s="1325"/>
      <c r="BM23" s="1325"/>
      <c r="BN23" s="1325"/>
      <c r="BO23" s="1325"/>
      <c r="BP23" s="1325"/>
      <c r="BQ23" s="1325"/>
      <c r="BR23" s="1325"/>
      <c r="BS23" s="1325"/>
      <c r="BT23" s="1325"/>
      <c r="BU23" s="1325"/>
      <c r="BV23" s="1325"/>
      <c r="BW23" s="1325"/>
      <c r="BX23" s="1325"/>
      <c r="BY23" s="1325"/>
      <c r="BZ23" s="1325"/>
      <c r="CA23" s="1325"/>
      <c r="CB23" s="1325"/>
      <c r="CC23" s="1325"/>
      <c r="CD23" s="1325"/>
      <c r="CE23" s="1325"/>
      <c r="CF23" s="1325"/>
      <c r="CG23" s="1325"/>
      <c r="CH23" s="1325"/>
      <c r="CI23" s="1325"/>
      <c r="CJ23" s="1325"/>
      <c r="CK23" s="1325"/>
      <c r="CL23" s="1325"/>
      <c r="CM23" s="1325"/>
      <c r="CN23" s="1325"/>
      <c r="CO23" s="1325"/>
      <c r="CP23" s="1325"/>
      <c r="CQ23" s="1325"/>
      <c r="CR23" s="1325"/>
      <c r="CS23" s="1325"/>
      <c r="CT23" s="1325"/>
      <c r="CU23" s="1325"/>
      <c r="CV23" s="1325"/>
      <c r="CW23" s="1325"/>
      <c r="CX23" s="1325"/>
      <c r="CY23" s="1325"/>
      <c r="CZ23" s="1325"/>
      <c r="DA23" s="1325"/>
      <c r="DB23" s="1325"/>
      <c r="DC23" s="1325"/>
      <c r="DD23" s="1325"/>
      <c r="DE23" s="1325"/>
      <c r="DF23" s="1325"/>
      <c r="DG23" s="1325"/>
      <c r="DH23" s="1325"/>
      <c r="DI23" s="1325"/>
      <c r="DJ23" s="1325"/>
      <c r="DK23" s="1325"/>
      <c r="DL23" s="1325"/>
      <c r="DM23" s="1325"/>
      <c r="DN23" s="1325"/>
      <c r="DO23" s="1325"/>
      <c r="DP23" s="1325"/>
      <c r="DQ23" s="1325"/>
      <c r="DR23" s="1325"/>
      <c r="DS23" s="1325"/>
      <c r="DT23" s="1325"/>
      <c r="DU23" s="1325"/>
      <c r="DV23" s="1325"/>
      <c r="DW23" s="1325"/>
      <c r="DX23" s="1325"/>
      <c r="DY23" s="1325"/>
      <c r="DZ23" s="1325"/>
      <c r="EA23" s="1325"/>
      <c r="EB23" s="1325"/>
      <c r="EC23" s="1325"/>
      <c r="ED23" s="1325"/>
      <c r="EE23" s="1325"/>
      <c r="EF23" s="1325"/>
      <c r="EG23" s="1325"/>
      <c r="EH23" s="1325"/>
      <c r="EI23" s="1325"/>
      <c r="EJ23" s="1325"/>
      <c r="EK23" s="1325"/>
      <c r="EL23" s="1325"/>
      <c r="EM23" s="1325"/>
      <c r="EN23" s="1325"/>
      <c r="EO23" s="1325"/>
      <c r="EP23" s="1325"/>
      <c r="EQ23" s="1325"/>
      <c r="ER23" s="1325"/>
      <c r="ES23" s="1325"/>
      <c r="ET23" s="1325"/>
      <c r="EU23" s="1325"/>
      <c r="EV23" s="1325"/>
      <c r="EW23" s="1325"/>
      <c r="EX23" s="1325"/>
      <c r="EY23" s="1325"/>
      <c r="EZ23" s="1325"/>
      <c r="FA23" s="1325"/>
      <c r="FB23" s="1325"/>
      <c r="FC23" s="1325"/>
      <c r="FD23" s="1325"/>
      <c r="FE23" s="1325"/>
      <c r="FF23" s="1325"/>
      <c r="FG23" s="1325"/>
      <c r="FH23" s="1325"/>
      <c r="FI23" s="1325"/>
      <c r="FJ23" s="1325"/>
      <c r="FK23" s="1325"/>
      <c r="FL23" s="1325"/>
      <c r="FM23" s="1325"/>
      <c r="FN23" s="1325"/>
      <c r="FO23" s="1325"/>
      <c r="FP23" s="1325"/>
      <c r="FQ23" s="1325"/>
      <c r="FR23" s="1325"/>
      <c r="FS23" s="1325"/>
      <c r="FT23" s="1325"/>
      <c r="FU23" s="1325"/>
      <c r="FV23" s="1325"/>
      <c r="FW23" s="1325"/>
      <c r="FX23" s="1325"/>
      <c r="FY23" s="1325"/>
      <c r="FZ23" s="1325"/>
      <c r="GA23" s="1325"/>
      <c r="GB23" s="1325"/>
      <c r="GC23" s="1325"/>
      <c r="GD23" s="1325"/>
      <c r="GE23" s="1325"/>
      <c r="GF23" s="1325"/>
      <c r="GG23" s="1325"/>
      <c r="GH23" s="1325"/>
      <c r="GI23" s="1325"/>
      <c r="GJ23" s="1325"/>
      <c r="GK23" s="1325"/>
      <c r="GL23" s="1325"/>
      <c r="GM23" s="1325"/>
      <c r="GN23" s="1325"/>
      <c r="GO23" s="1325"/>
      <c r="GP23" s="1325"/>
      <c r="GQ23" s="1325"/>
      <c r="GR23" s="1325"/>
      <c r="GS23" s="1325"/>
      <c r="GT23" s="1325"/>
      <c r="GU23" s="1325"/>
      <c r="GV23" s="1325"/>
      <c r="GW23" s="1325"/>
      <c r="GX23" s="1325"/>
      <c r="GY23" s="1325"/>
      <c r="GZ23" s="1325"/>
      <c r="HA23" s="1325"/>
      <c r="HB23" s="1325"/>
      <c r="HC23" s="1325"/>
      <c r="HD23" s="1325"/>
      <c r="HE23" s="1325"/>
      <c r="HF23" s="1325"/>
      <c r="HG23" s="1325"/>
      <c r="HH23" s="1325"/>
      <c r="HI23" s="1325"/>
      <c r="HJ23" s="1325"/>
      <c r="HK23" s="1325"/>
      <c r="HL23" s="1325"/>
      <c r="HM23" s="1325"/>
      <c r="HN23" s="1325"/>
      <c r="HO23" s="1325"/>
      <c r="HP23" s="1325"/>
      <c r="HQ23" s="1325"/>
      <c r="HR23" s="1325"/>
      <c r="HS23" s="1325"/>
      <c r="HT23" s="1325"/>
      <c r="HU23" s="1325"/>
      <c r="HV23" s="1325"/>
      <c r="HW23" s="1325"/>
      <c r="HX23" s="1325"/>
      <c r="HY23" s="1325"/>
      <c r="HZ23" s="1325"/>
      <c r="IA23" s="1325"/>
      <c r="IB23" s="1325"/>
      <c r="IC23" s="1325"/>
      <c r="ID23" s="1325"/>
      <c r="IE23" s="1325"/>
      <c r="IF23" s="1325"/>
      <c r="IG23" s="1325"/>
      <c r="IH23" s="1325"/>
      <c r="II23" s="1325"/>
      <c r="IJ23" s="1325"/>
      <c r="IK23" s="1325"/>
      <c r="IL23" s="1325"/>
      <c r="IM23" s="1325"/>
      <c r="IN23" s="1325"/>
      <c r="IO23" s="1325"/>
      <c r="IP23" s="1325"/>
      <c r="IQ23" s="1325"/>
      <c r="IR23" s="1325"/>
      <c r="IS23" s="1325"/>
      <c r="IT23" s="1325"/>
      <c r="IU23" s="1325"/>
      <c r="IV23" s="1325"/>
    </row>
    <row r="24" spans="1:256" ht="48" customHeight="1">
      <c r="A24" s="1365" t="s">
        <v>796</v>
      </c>
      <c r="B24" s="1366" t="s">
        <v>676</v>
      </c>
      <c r="C24" s="1367"/>
      <c r="D24" s="1367"/>
      <c r="E24" s="1325"/>
      <c r="F24" s="1325"/>
      <c r="G24" s="1325"/>
      <c r="H24" s="1325"/>
      <c r="I24" s="1325"/>
      <c r="J24" s="1325"/>
      <c r="K24" s="1325"/>
      <c r="L24" s="1325"/>
      <c r="M24" s="1325"/>
      <c r="N24" s="1325"/>
      <c r="O24" s="1325"/>
      <c r="P24" s="1325"/>
      <c r="Q24" s="1325"/>
      <c r="R24" s="1325"/>
      <c r="S24" s="1325"/>
      <c r="T24" s="1325"/>
      <c r="U24" s="1325"/>
      <c r="V24" s="1325"/>
      <c r="W24" s="1325"/>
      <c r="X24" s="1325"/>
      <c r="Y24" s="1325"/>
      <c r="Z24" s="1325"/>
      <c r="AA24" s="1325"/>
      <c r="AB24" s="1325"/>
      <c r="AC24" s="1325"/>
      <c r="AD24" s="1325"/>
      <c r="AE24" s="1325"/>
      <c r="AF24" s="1325"/>
      <c r="AG24" s="1325"/>
      <c r="AH24" s="1325"/>
      <c r="AI24" s="1325"/>
      <c r="AJ24" s="1325"/>
      <c r="AK24" s="1325"/>
      <c r="AL24" s="1325"/>
      <c r="AM24" s="1325"/>
      <c r="AN24" s="1325"/>
      <c r="AO24" s="1325"/>
      <c r="AP24" s="1325"/>
      <c r="AQ24" s="1325"/>
      <c r="AR24" s="1325"/>
      <c r="AS24" s="1325"/>
      <c r="AT24" s="1325"/>
      <c r="AU24" s="1325"/>
      <c r="AV24" s="1325"/>
      <c r="AW24" s="1325"/>
      <c r="AX24" s="1325"/>
      <c r="AY24" s="1325"/>
      <c r="AZ24" s="1325"/>
      <c r="BA24" s="1325"/>
      <c r="BB24" s="1325"/>
      <c r="BC24" s="1325"/>
      <c r="BD24" s="1325"/>
      <c r="BE24" s="1325"/>
      <c r="BF24" s="1325"/>
      <c r="BG24" s="1325"/>
      <c r="BH24" s="1325"/>
      <c r="BI24" s="1325"/>
      <c r="BJ24" s="1325"/>
      <c r="BK24" s="1325"/>
      <c r="BL24" s="1325"/>
      <c r="BM24" s="1325"/>
      <c r="BN24" s="1325"/>
      <c r="BO24" s="1325"/>
      <c r="BP24" s="1325"/>
      <c r="BQ24" s="1325"/>
      <c r="BR24" s="1325"/>
      <c r="BS24" s="1325"/>
      <c r="BT24" s="1325"/>
      <c r="BU24" s="1325"/>
      <c r="BV24" s="1325"/>
      <c r="BW24" s="1325"/>
      <c r="BX24" s="1325"/>
      <c r="BY24" s="1325"/>
      <c r="BZ24" s="1325"/>
      <c r="CA24" s="1325"/>
      <c r="CB24" s="1325"/>
      <c r="CC24" s="1325"/>
      <c r="CD24" s="1325"/>
      <c r="CE24" s="1325"/>
      <c r="CF24" s="1325"/>
      <c r="CG24" s="1325"/>
      <c r="CH24" s="1325"/>
      <c r="CI24" s="1325"/>
      <c r="CJ24" s="1325"/>
      <c r="CK24" s="1325"/>
      <c r="CL24" s="1325"/>
      <c r="CM24" s="1325"/>
      <c r="CN24" s="1325"/>
      <c r="CO24" s="1325"/>
      <c r="CP24" s="1325"/>
      <c r="CQ24" s="1325"/>
      <c r="CR24" s="1325"/>
      <c r="CS24" s="1325"/>
      <c r="CT24" s="1325"/>
      <c r="CU24" s="1325"/>
      <c r="CV24" s="1325"/>
      <c r="CW24" s="1325"/>
      <c r="CX24" s="1325"/>
      <c r="CY24" s="1325"/>
      <c r="CZ24" s="1325"/>
      <c r="DA24" s="1325"/>
      <c r="DB24" s="1325"/>
      <c r="DC24" s="1325"/>
      <c r="DD24" s="1325"/>
      <c r="DE24" s="1325"/>
      <c r="DF24" s="1325"/>
      <c r="DG24" s="1325"/>
      <c r="DH24" s="1325"/>
      <c r="DI24" s="1325"/>
      <c r="DJ24" s="1325"/>
      <c r="DK24" s="1325"/>
      <c r="DL24" s="1325"/>
      <c r="DM24" s="1325"/>
      <c r="DN24" s="1325"/>
      <c r="DO24" s="1325"/>
      <c r="DP24" s="1325"/>
      <c r="DQ24" s="1325"/>
      <c r="DR24" s="1325"/>
      <c r="DS24" s="1325"/>
      <c r="DT24" s="1325"/>
      <c r="DU24" s="1325"/>
      <c r="DV24" s="1325"/>
      <c r="DW24" s="1325"/>
      <c r="DX24" s="1325"/>
      <c r="DY24" s="1325"/>
      <c r="DZ24" s="1325"/>
      <c r="EA24" s="1325"/>
      <c r="EB24" s="1325"/>
      <c r="EC24" s="1325"/>
      <c r="ED24" s="1325"/>
      <c r="EE24" s="1325"/>
      <c r="EF24" s="1325"/>
      <c r="EG24" s="1325"/>
      <c r="EH24" s="1325"/>
      <c r="EI24" s="1325"/>
      <c r="EJ24" s="1325"/>
      <c r="EK24" s="1325"/>
      <c r="EL24" s="1325"/>
      <c r="EM24" s="1325"/>
      <c r="EN24" s="1325"/>
      <c r="EO24" s="1325"/>
      <c r="EP24" s="1325"/>
      <c r="EQ24" s="1325"/>
      <c r="ER24" s="1325"/>
      <c r="ES24" s="1325"/>
      <c r="ET24" s="1325"/>
      <c r="EU24" s="1325"/>
      <c r="EV24" s="1325"/>
      <c r="EW24" s="1325"/>
      <c r="EX24" s="1325"/>
      <c r="EY24" s="1325"/>
      <c r="EZ24" s="1325"/>
      <c r="FA24" s="1325"/>
      <c r="FB24" s="1325"/>
      <c r="FC24" s="1325"/>
      <c r="FD24" s="1325"/>
      <c r="FE24" s="1325"/>
      <c r="FF24" s="1325"/>
      <c r="FG24" s="1325"/>
      <c r="FH24" s="1325"/>
      <c r="FI24" s="1325"/>
      <c r="FJ24" s="1325"/>
      <c r="FK24" s="1325"/>
      <c r="FL24" s="1325"/>
      <c r="FM24" s="1325"/>
      <c r="FN24" s="1325"/>
      <c r="FO24" s="1325"/>
      <c r="FP24" s="1325"/>
      <c r="FQ24" s="1325"/>
      <c r="FR24" s="1325"/>
      <c r="FS24" s="1325"/>
      <c r="FT24" s="1325"/>
      <c r="FU24" s="1325"/>
      <c r="FV24" s="1325"/>
      <c r="FW24" s="1325"/>
      <c r="FX24" s="1325"/>
      <c r="FY24" s="1325"/>
      <c r="FZ24" s="1325"/>
      <c r="GA24" s="1325"/>
      <c r="GB24" s="1325"/>
      <c r="GC24" s="1325"/>
      <c r="GD24" s="1325"/>
      <c r="GE24" s="1325"/>
      <c r="GF24" s="1325"/>
      <c r="GG24" s="1325"/>
      <c r="GH24" s="1325"/>
      <c r="GI24" s="1325"/>
      <c r="GJ24" s="1325"/>
      <c r="GK24" s="1325"/>
      <c r="GL24" s="1325"/>
      <c r="GM24" s="1325"/>
      <c r="GN24" s="1325"/>
      <c r="GO24" s="1325"/>
      <c r="GP24" s="1325"/>
      <c r="GQ24" s="1325"/>
      <c r="GR24" s="1325"/>
      <c r="GS24" s="1325"/>
      <c r="GT24" s="1325"/>
      <c r="GU24" s="1325"/>
      <c r="GV24" s="1325"/>
      <c r="GW24" s="1325"/>
      <c r="GX24" s="1325"/>
      <c r="GY24" s="1325"/>
      <c r="GZ24" s="1325"/>
      <c r="HA24" s="1325"/>
      <c r="HB24" s="1325"/>
      <c r="HC24" s="1325"/>
      <c r="HD24" s="1325"/>
      <c r="HE24" s="1325"/>
      <c r="HF24" s="1325"/>
      <c r="HG24" s="1325"/>
      <c r="HH24" s="1325"/>
      <c r="HI24" s="1325"/>
      <c r="HJ24" s="1325"/>
      <c r="HK24" s="1325"/>
      <c r="HL24" s="1325"/>
      <c r="HM24" s="1325"/>
      <c r="HN24" s="1325"/>
      <c r="HO24" s="1325"/>
      <c r="HP24" s="1325"/>
      <c r="HQ24" s="1325"/>
      <c r="HR24" s="1325"/>
      <c r="HS24" s="1325"/>
      <c r="HT24" s="1325"/>
      <c r="HU24" s="1325"/>
      <c r="HV24" s="1325"/>
      <c r="HW24" s="1325"/>
      <c r="HX24" s="1325"/>
      <c r="HY24" s="1325"/>
      <c r="HZ24" s="1325"/>
      <c r="IA24" s="1325"/>
      <c r="IB24" s="1325"/>
      <c r="IC24" s="1325"/>
      <c r="ID24" s="1325"/>
      <c r="IE24" s="1325"/>
      <c r="IF24" s="1325"/>
      <c r="IG24" s="1325"/>
      <c r="IH24" s="1325"/>
      <c r="II24" s="1325"/>
      <c r="IJ24" s="1325"/>
      <c r="IK24" s="1325"/>
      <c r="IL24" s="1325"/>
      <c r="IM24" s="1325"/>
      <c r="IN24" s="1325"/>
      <c r="IO24" s="1325"/>
      <c r="IP24" s="1325"/>
      <c r="IQ24" s="1325"/>
      <c r="IR24" s="1325"/>
      <c r="IS24" s="1325"/>
      <c r="IT24" s="1325"/>
      <c r="IU24" s="1325"/>
      <c r="IV24" s="1325"/>
    </row>
    <row r="25" spans="1:256" ht="48" customHeight="1">
      <c r="A25" s="1365" t="s">
        <v>797</v>
      </c>
      <c r="B25" s="1366" t="s">
        <v>608</v>
      </c>
      <c r="C25" s="1367"/>
      <c r="D25" s="1367"/>
      <c r="E25" s="1325"/>
      <c r="F25" s="1325"/>
      <c r="G25" s="1325"/>
      <c r="H25" s="1325"/>
      <c r="I25" s="1325"/>
      <c r="J25" s="1325"/>
      <c r="K25" s="1325"/>
      <c r="L25" s="1325"/>
      <c r="M25" s="1325"/>
      <c r="N25" s="1325"/>
      <c r="O25" s="1325"/>
      <c r="P25" s="1325"/>
      <c r="Q25" s="1325"/>
      <c r="R25" s="1325"/>
      <c r="S25" s="1325"/>
      <c r="T25" s="1325"/>
      <c r="U25" s="1325"/>
      <c r="V25" s="1325"/>
      <c r="W25" s="1325"/>
      <c r="X25" s="1325"/>
      <c r="Y25" s="1325"/>
      <c r="Z25" s="1325"/>
      <c r="AA25" s="1325"/>
      <c r="AB25" s="1325"/>
      <c r="AC25" s="1325"/>
      <c r="AD25" s="1325"/>
      <c r="AE25" s="1325"/>
      <c r="AF25" s="1325"/>
      <c r="AG25" s="1325"/>
      <c r="AH25" s="1325"/>
      <c r="AI25" s="1325"/>
      <c r="AJ25" s="1325"/>
      <c r="AK25" s="1325"/>
      <c r="AL25" s="1325"/>
      <c r="AM25" s="1325"/>
      <c r="AN25" s="1325"/>
      <c r="AO25" s="1325"/>
      <c r="AP25" s="1325"/>
      <c r="AQ25" s="1325"/>
      <c r="AR25" s="1325"/>
      <c r="AS25" s="1325"/>
      <c r="AT25" s="1325"/>
      <c r="AU25" s="1325"/>
      <c r="AV25" s="1325"/>
      <c r="AW25" s="1325"/>
      <c r="AX25" s="1325"/>
      <c r="AY25" s="1325"/>
      <c r="AZ25" s="1325"/>
      <c r="BA25" s="1325"/>
      <c r="BB25" s="1325"/>
      <c r="BC25" s="1325"/>
      <c r="BD25" s="1325"/>
      <c r="BE25" s="1325"/>
      <c r="BF25" s="1325"/>
      <c r="BG25" s="1325"/>
      <c r="BH25" s="1325"/>
      <c r="BI25" s="1325"/>
      <c r="BJ25" s="1325"/>
      <c r="BK25" s="1325"/>
      <c r="BL25" s="1325"/>
      <c r="BM25" s="1325"/>
      <c r="BN25" s="1325"/>
      <c r="BO25" s="1325"/>
      <c r="BP25" s="1325"/>
      <c r="BQ25" s="1325"/>
      <c r="BR25" s="1325"/>
      <c r="BS25" s="1325"/>
      <c r="BT25" s="1325"/>
      <c r="BU25" s="1325"/>
      <c r="BV25" s="1325"/>
      <c r="BW25" s="1325"/>
      <c r="BX25" s="1325"/>
      <c r="BY25" s="1325"/>
      <c r="BZ25" s="1325"/>
      <c r="CA25" s="1325"/>
      <c r="CB25" s="1325"/>
      <c r="CC25" s="1325"/>
      <c r="CD25" s="1325"/>
      <c r="CE25" s="1325"/>
      <c r="CF25" s="1325"/>
      <c r="CG25" s="1325"/>
      <c r="CH25" s="1325"/>
      <c r="CI25" s="1325"/>
      <c r="CJ25" s="1325"/>
      <c r="CK25" s="1325"/>
      <c r="CL25" s="1325"/>
      <c r="CM25" s="1325"/>
      <c r="CN25" s="1325"/>
      <c r="CO25" s="1325"/>
      <c r="CP25" s="1325"/>
      <c r="CQ25" s="1325"/>
      <c r="CR25" s="1325"/>
      <c r="CS25" s="1325"/>
      <c r="CT25" s="1325"/>
      <c r="CU25" s="1325"/>
      <c r="CV25" s="1325"/>
      <c r="CW25" s="1325"/>
      <c r="CX25" s="1325"/>
      <c r="CY25" s="1325"/>
      <c r="CZ25" s="1325"/>
      <c r="DA25" s="1325"/>
      <c r="DB25" s="1325"/>
      <c r="DC25" s="1325"/>
      <c r="DD25" s="1325"/>
      <c r="DE25" s="1325"/>
      <c r="DF25" s="1325"/>
      <c r="DG25" s="1325"/>
      <c r="DH25" s="1325"/>
      <c r="DI25" s="1325"/>
      <c r="DJ25" s="1325"/>
      <c r="DK25" s="1325"/>
      <c r="DL25" s="1325"/>
      <c r="DM25" s="1325"/>
      <c r="DN25" s="1325"/>
      <c r="DO25" s="1325"/>
      <c r="DP25" s="1325"/>
      <c r="DQ25" s="1325"/>
      <c r="DR25" s="1325"/>
      <c r="DS25" s="1325"/>
      <c r="DT25" s="1325"/>
      <c r="DU25" s="1325"/>
      <c r="DV25" s="1325"/>
      <c r="DW25" s="1325"/>
      <c r="DX25" s="1325"/>
      <c r="DY25" s="1325"/>
      <c r="DZ25" s="1325"/>
      <c r="EA25" s="1325"/>
      <c r="EB25" s="1325"/>
      <c r="EC25" s="1325"/>
      <c r="ED25" s="1325"/>
      <c r="EE25" s="1325"/>
      <c r="EF25" s="1325"/>
      <c r="EG25" s="1325"/>
      <c r="EH25" s="1325"/>
      <c r="EI25" s="1325"/>
      <c r="EJ25" s="1325"/>
      <c r="EK25" s="1325"/>
      <c r="EL25" s="1325"/>
      <c r="EM25" s="1325"/>
      <c r="EN25" s="1325"/>
      <c r="EO25" s="1325"/>
      <c r="EP25" s="1325"/>
      <c r="EQ25" s="1325"/>
      <c r="ER25" s="1325"/>
      <c r="ES25" s="1325"/>
      <c r="ET25" s="1325"/>
      <c r="EU25" s="1325"/>
      <c r="EV25" s="1325"/>
      <c r="EW25" s="1325"/>
      <c r="EX25" s="1325"/>
      <c r="EY25" s="1325"/>
      <c r="EZ25" s="1325"/>
      <c r="FA25" s="1325"/>
      <c r="FB25" s="1325"/>
      <c r="FC25" s="1325"/>
      <c r="FD25" s="1325"/>
      <c r="FE25" s="1325"/>
      <c r="FF25" s="1325"/>
      <c r="FG25" s="1325"/>
      <c r="FH25" s="1325"/>
      <c r="FI25" s="1325"/>
      <c r="FJ25" s="1325"/>
      <c r="FK25" s="1325"/>
      <c r="FL25" s="1325"/>
      <c r="FM25" s="1325"/>
      <c r="FN25" s="1325"/>
      <c r="FO25" s="1325"/>
      <c r="FP25" s="1325"/>
      <c r="FQ25" s="1325"/>
      <c r="FR25" s="1325"/>
      <c r="FS25" s="1325"/>
      <c r="FT25" s="1325"/>
      <c r="FU25" s="1325"/>
      <c r="FV25" s="1325"/>
      <c r="FW25" s="1325"/>
      <c r="FX25" s="1325"/>
      <c r="FY25" s="1325"/>
      <c r="FZ25" s="1325"/>
      <c r="GA25" s="1325"/>
      <c r="GB25" s="1325"/>
      <c r="GC25" s="1325"/>
      <c r="GD25" s="1325"/>
      <c r="GE25" s="1325"/>
      <c r="GF25" s="1325"/>
      <c r="GG25" s="1325"/>
      <c r="GH25" s="1325"/>
      <c r="GI25" s="1325"/>
      <c r="GJ25" s="1325"/>
      <c r="GK25" s="1325"/>
      <c r="GL25" s="1325"/>
      <c r="GM25" s="1325"/>
      <c r="GN25" s="1325"/>
      <c r="GO25" s="1325"/>
      <c r="GP25" s="1325"/>
      <c r="GQ25" s="1325"/>
      <c r="GR25" s="1325"/>
      <c r="GS25" s="1325"/>
      <c r="GT25" s="1325"/>
      <c r="GU25" s="1325"/>
      <c r="GV25" s="1325"/>
      <c r="GW25" s="1325"/>
      <c r="GX25" s="1325"/>
      <c r="GY25" s="1325"/>
      <c r="GZ25" s="1325"/>
      <c r="HA25" s="1325"/>
      <c r="HB25" s="1325"/>
      <c r="HC25" s="1325"/>
      <c r="HD25" s="1325"/>
      <c r="HE25" s="1325"/>
      <c r="HF25" s="1325"/>
      <c r="HG25" s="1325"/>
      <c r="HH25" s="1325"/>
      <c r="HI25" s="1325"/>
      <c r="HJ25" s="1325"/>
      <c r="HK25" s="1325"/>
      <c r="HL25" s="1325"/>
      <c r="HM25" s="1325"/>
      <c r="HN25" s="1325"/>
      <c r="HO25" s="1325"/>
      <c r="HP25" s="1325"/>
      <c r="HQ25" s="1325"/>
      <c r="HR25" s="1325"/>
      <c r="HS25" s="1325"/>
      <c r="HT25" s="1325"/>
      <c r="HU25" s="1325"/>
      <c r="HV25" s="1325"/>
      <c r="HW25" s="1325"/>
      <c r="HX25" s="1325"/>
      <c r="HY25" s="1325"/>
      <c r="HZ25" s="1325"/>
      <c r="IA25" s="1325"/>
      <c r="IB25" s="1325"/>
      <c r="IC25" s="1325"/>
      <c r="ID25" s="1325"/>
      <c r="IE25" s="1325"/>
      <c r="IF25" s="1325"/>
      <c r="IG25" s="1325"/>
      <c r="IH25" s="1325"/>
      <c r="II25" s="1325"/>
      <c r="IJ25" s="1325"/>
      <c r="IK25" s="1325"/>
      <c r="IL25" s="1325"/>
      <c r="IM25" s="1325"/>
      <c r="IN25" s="1325"/>
      <c r="IO25" s="1325"/>
      <c r="IP25" s="1325"/>
      <c r="IQ25" s="1325"/>
      <c r="IR25" s="1325"/>
      <c r="IS25" s="1325"/>
      <c r="IT25" s="1325"/>
      <c r="IU25" s="1325"/>
      <c r="IV25" s="1325"/>
    </row>
    <row r="26" spans="1:256" ht="48" customHeight="1">
      <c r="A26" s="1365" t="s">
        <v>798</v>
      </c>
      <c r="B26" s="1366" t="s">
        <v>677</v>
      </c>
      <c r="C26" s="1367"/>
      <c r="D26" s="1367"/>
      <c r="E26" s="1325"/>
      <c r="F26" s="1325"/>
      <c r="G26" s="1325"/>
      <c r="H26" s="1325"/>
      <c r="I26" s="1325"/>
      <c r="J26" s="1325"/>
      <c r="K26" s="1325"/>
      <c r="L26" s="1325"/>
      <c r="M26" s="1325"/>
      <c r="N26" s="1325"/>
      <c r="O26" s="1325"/>
      <c r="P26" s="1325"/>
      <c r="Q26" s="1325"/>
      <c r="R26" s="1325"/>
      <c r="S26" s="1325"/>
      <c r="T26" s="1325"/>
      <c r="U26" s="1325"/>
      <c r="V26" s="1325"/>
      <c r="W26" s="1325"/>
      <c r="X26" s="1325"/>
      <c r="Y26" s="1325"/>
      <c r="Z26" s="1325"/>
      <c r="AA26" s="1325"/>
      <c r="AB26" s="1325"/>
      <c r="AC26" s="1325"/>
      <c r="AD26" s="1325"/>
      <c r="AE26" s="1325"/>
      <c r="AF26" s="1325"/>
      <c r="AG26" s="1325"/>
      <c r="AH26" s="1325"/>
      <c r="AI26" s="1325"/>
      <c r="AJ26" s="1325"/>
      <c r="AK26" s="1325"/>
      <c r="AL26" s="1325"/>
      <c r="AM26" s="1325"/>
      <c r="AN26" s="1325"/>
      <c r="AO26" s="1325"/>
      <c r="AP26" s="1325"/>
      <c r="AQ26" s="1325"/>
      <c r="AR26" s="1325"/>
      <c r="AS26" s="1325"/>
      <c r="AT26" s="1325"/>
      <c r="AU26" s="1325"/>
      <c r="AV26" s="1325"/>
      <c r="AW26" s="1325"/>
      <c r="AX26" s="1325"/>
      <c r="AY26" s="1325"/>
      <c r="AZ26" s="1325"/>
      <c r="BA26" s="1325"/>
      <c r="BB26" s="1325"/>
      <c r="BC26" s="1325"/>
      <c r="BD26" s="1325"/>
      <c r="BE26" s="1325"/>
      <c r="BF26" s="1325"/>
      <c r="BG26" s="1325"/>
      <c r="BH26" s="1325"/>
      <c r="BI26" s="1325"/>
      <c r="BJ26" s="1325"/>
      <c r="BK26" s="1325"/>
      <c r="BL26" s="1325"/>
      <c r="BM26" s="1325"/>
      <c r="BN26" s="1325"/>
      <c r="BO26" s="1325"/>
      <c r="BP26" s="1325"/>
      <c r="BQ26" s="1325"/>
      <c r="BR26" s="1325"/>
      <c r="BS26" s="1325"/>
      <c r="BT26" s="1325"/>
      <c r="BU26" s="1325"/>
      <c r="BV26" s="1325"/>
      <c r="BW26" s="1325"/>
      <c r="BX26" s="1325"/>
      <c r="BY26" s="1325"/>
      <c r="BZ26" s="1325"/>
      <c r="CA26" s="1325"/>
      <c r="CB26" s="1325"/>
      <c r="CC26" s="1325"/>
      <c r="CD26" s="1325"/>
      <c r="CE26" s="1325"/>
      <c r="CF26" s="1325"/>
      <c r="CG26" s="1325"/>
      <c r="CH26" s="1325"/>
      <c r="CI26" s="1325"/>
      <c r="CJ26" s="1325"/>
      <c r="CK26" s="1325"/>
      <c r="CL26" s="1325"/>
      <c r="CM26" s="1325"/>
      <c r="CN26" s="1325"/>
      <c r="CO26" s="1325"/>
      <c r="CP26" s="1325"/>
      <c r="CQ26" s="1325"/>
      <c r="CR26" s="1325"/>
      <c r="CS26" s="1325"/>
      <c r="CT26" s="1325"/>
      <c r="CU26" s="1325"/>
      <c r="CV26" s="1325"/>
      <c r="CW26" s="1325"/>
      <c r="CX26" s="1325"/>
      <c r="CY26" s="1325"/>
      <c r="CZ26" s="1325"/>
      <c r="DA26" s="1325"/>
      <c r="DB26" s="1325"/>
      <c r="DC26" s="1325"/>
      <c r="DD26" s="1325"/>
      <c r="DE26" s="1325"/>
      <c r="DF26" s="1325"/>
      <c r="DG26" s="1325"/>
      <c r="DH26" s="1325"/>
      <c r="DI26" s="1325"/>
      <c r="DJ26" s="1325"/>
      <c r="DK26" s="1325"/>
      <c r="DL26" s="1325"/>
      <c r="DM26" s="1325"/>
      <c r="DN26" s="1325"/>
      <c r="DO26" s="1325"/>
      <c r="DP26" s="1325"/>
      <c r="DQ26" s="1325"/>
      <c r="DR26" s="1325"/>
      <c r="DS26" s="1325"/>
      <c r="DT26" s="1325"/>
      <c r="DU26" s="1325"/>
      <c r="DV26" s="1325"/>
      <c r="DW26" s="1325"/>
      <c r="DX26" s="1325"/>
      <c r="DY26" s="1325"/>
      <c r="DZ26" s="1325"/>
      <c r="EA26" s="1325"/>
      <c r="EB26" s="1325"/>
      <c r="EC26" s="1325"/>
      <c r="ED26" s="1325"/>
      <c r="EE26" s="1325"/>
      <c r="EF26" s="1325"/>
      <c r="EG26" s="1325"/>
      <c r="EH26" s="1325"/>
      <c r="EI26" s="1325"/>
      <c r="EJ26" s="1325"/>
      <c r="EK26" s="1325"/>
      <c r="EL26" s="1325"/>
      <c r="EM26" s="1325"/>
      <c r="EN26" s="1325"/>
      <c r="EO26" s="1325"/>
      <c r="EP26" s="1325"/>
      <c r="EQ26" s="1325"/>
      <c r="ER26" s="1325"/>
      <c r="ES26" s="1325"/>
      <c r="ET26" s="1325"/>
      <c r="EU26" s="1325"/>
      <c r="EV26" s="1325"/>
      <c r="EW26" s="1325"/>
      <c r="EX26" s="1325"/>
      <c r="EY26" s="1325"/>
      <c r="EZ26" s="1325"/>
      <c r="FA26" s="1325"/>
      <c r="FB26" s="1325"/>
      <c r="FC26" s="1325"/>
      <c r="FD26" s="1325"/>
      <c r="FE26" s="1325"/>
      <c r="FF26" s="1325"/>
      <c r="FG26" s="1325"/>
      <c r="FH26" s="1325"/>
      <c r="FI26" s="1325"/>
      <c r="FJ26" s="1325"/>
      <c r="FK26" s="1325"/>
      <c r="FL26" s="1325"/>
      <c r="FM26" s="1325"/>
      <c r="FN26" s="1325"/>
      <c r="FO26" s="1325"/>
      <c r="FP26" s="1325"/>
      <c r="FQ26" s="1325"/>
      <c r="FR26" s="1325"/>
      <c r="FS26" s="1325"/>
      <c r="FT26" s="1325"/>
      <c r="FU26" s="1325"/>
      <c r="FV26" s="1325"/>
      <c r="FW26" s="1325"/>
      <c r="FX26" s="1325"/>
      <c r="FY26" s="1325"/>
      <c r="FZ26" s="1325"/>
      <c r="GA26" s="1325"/>
      <c r="GB26" s="1325"/>
      <c r="GC26" s="1325"/>
      <c r="GD26" s="1325"/>
      <c r="GE26" s="1325"/>
      <c r="GF26" s="1325"/>
      <c r="GG26" s="1325"/>
      <c r="GH26" s="1325"/>
      <c r="GI26" s="1325"/>
      <c r="GJ26" s="1325"/>
      <c r="GK26" s="1325"/>
      <c r="GL26" s="1325"/>
      <c r="GM26" s="1325"/>
      <c r="GN26" s="1325"/>
      <c r="GO26" s="1325"/>
      <c r="GP26" s="1325"/>
      <c r="GQ26" s="1325"/>
      <c r="GR26" s="1325"/>
      <c r="GS26" s="1325"/>
      <c r="GT26" s="1325"/>
      <c r="GU26" s="1325"/>
      <c r="GV26" s="1325"/>
      <c r="GW26" s="1325"/>
      <c r="GX26" s="1325"/>
      <c r="GY26" s="1325"/>
      <c r="GZ26" s="1325"/>
      <c r="HA26" s="1325"/>
      <c r="HB26" s="1325"/>
      <c r="HC26" s="1325"/>
      <c r="HD26" s="1325"/>
      <c r="HE26" s="1325"/>
      <c r="HF26" s="1325"/>
      <c r="HG26" s="1325"/>
      <c r="HH26" s="1325"/>
      <c r="HI26" s="1325"/>
      <c r="HJ26" s="1325"/>
      <c r="HK26" s="1325"/>
      <c r="HL26" s="1325"/>
      <c r="HM26" s="1325"/>
      <c r="HN26" s="1325"/>
      <c r="HO26" s="1325"/>
      <c r="HP26" s="1325"/>
      <c r="HQ26" s="1325"/>
      <c r="HR26" s="1325"/>
      <c r="HS26" s="1325"/>
      <c r="HT26" s="1325"/>
      <c r="HU26" s="1325"/>
      <c r="HV26" s="1325"/>
      <c r="HW26" s="1325"/>
      <c r="HX26" s="1325"/>
      <c r="HY26" s="1325"/>
      <c r="HZ26" s="1325"/>
      <c r="IA26" s="1325"/>
      <c r="IB26" s="1325"/>
      <c r="IC26" s="1325"/>
      <c r="ID26" s="1325"/>
      <c r="IE26" s="1325"/>
      <c r="IF26" s="1325"/>
      <c r="IG26" s="1325"/>
      <c r="IH26" s="1325"/>
      <c r="II26" s="1325"/>
      <c r="IJ26" s="1325"/>
      <c r="IK26" s="1325"/>
      <c r="IL26" s="1325"/>
      <c r="IM26" s="1325"/>
      <c r="IN26" s="1325"/>
      <c r="IO26" s="1325"/>
      <c r="IP26" s="1325"/>
      <c r="IQ26" s="1325"/>
      <c r="IR26" s="1325"/>
      <c r="IS26" s="1325"/>
      <c r="IT26" s="1325"/>
      <c r="IU26" s="1325"/>
      <c r="IV26" s="1325"/>
    </row>
    <row r="27" spans="1:256" ht="48" customHeight="1">
      <c r="A27" s="1365" t="s">
        <v>799</v>
      </c>
      <c r="B27" s="1366" t="s">
        <v>678</v>
      </c>
      <c r="C27" s="1367"/>
      <c r="D27" s="1367"/>
      <c r="E27" s="1325"/>
      <c r="F27" s="1325"/>
      <c r="G27" s="1325"/>
      <c r="H27" s="1325"/>
      <c r="I27" s="1325"/>
      <c r="J27" s="1325"/>
      <c r="K27" s="1325"/>
      <c r="L27" s="1325"/>
      <c r="M27" s="1325"/>
      <c r="N27" s="1325"/>
      <c r="O27" s="1325"/>
      <c r="P27" s="1325"/>
      <c r="Q27" s="1325"/>
      <c r="R27" s="1325"/>
      <c r="S27" s="1325"/>
      <c r="T27" s="1325"/>
      <c r="U27" s="1325"/>
      <c r="V27" s="1325"/>
      <c r="W27" s="1325"/>
      <c r="X27" s="1325"/>
      <c r="Y27" s="1325"/>
      <c r="Z27" s="1325"/>
      <c r="AA27" s="1325"/>
      <c r="AB27" s="1325"/>
      <c r="AC27" s="1325"/>
      <c r="AD27" s="1325"/>
      <c r="AE27" s="1325"/>
      <c r="AF27" s="1325"/>
      <c r="AG27" s="1325"/>
      <c r="AH27" s="1325"/>
      <c r="AI27" s="1325"/>
      <c r="AJ27" s="1325"/>
      <c r="AK27" s="1325"/>
      <c r="AL27" s="1325"/>
      <c r="AM27" s="1325"/>
      <c r="AN27" s="1325"/>
      <c r="AO27" s="1325"/>
      <c r="AP27" s="1325"/>
      <c r="AQ27" s="1325"/>
      <c r="AR27" s="1325"/>
      <c r="AS27" s="1325"/>
      <c r="AT27" s="1325"/>
      <c r="AU27" s="1325"/>
      <c r="AV27" s="1325"/>
      <c r="AW27" s="1325"/>
      <c r="AX27" s="1325"/>
      <c r="AY27" s="1325"/>
      <c r="AZ27" s="1325"/>
      <c r="BA27" s="1325"/>
      <c r="BB27" s="1325"/>
      <c r="BC27" s="1325"/>
      <c r="BD27" s="1325"/>
      <c r="BE27" s="1325"/>
      <c r="BF27" s="1325"/>
      <c r="BG27" s="1325"/>
      <c r="BH27" s="1325"/>
      <c r="BI27" s="1325"/>
      <c r="BJ27" s="1325"/>
      <c r="BK27" s="1325"/>
      <c r="BL27" s="1325"/>
      <c r="BM27" s="1325"/>
      <c r="BN27" s="1325"/>
      <c r="BO27" s="1325"/>
      <c r="BP27" s="1325"/>
      <c r="BQ27" s="1325"/>
      <c r="BR27" s="1325"/>
      <c r="BS27" s="1325"/>
      <c r="BT27" s="1325"/>
      <c r="BU27" s="1325"/>
      <c r="BV27" s="1325"/>
      <c r="BW27" s="1325"/>
      <c r="BX27" s="1325"/>
      <c r="BY27" s="1325"/>
      <c r="BZ27" s="1325"/>
      <c r="CA27" s="1325"/>
      <c r="CB27" s="1325"/>
      <c r="CC27" s="1325"/>
      <c r="CD27" s="1325"/>
      <c r="CE27" s="1325"/>
      <c r="CF27" s="1325"/>
      <c r="CG27" s="1325"/>
      <c r="CH27" s="1325"/>
      <c r="CI27" s="1325"/>
      <c r="CJ27" s="1325"/>
      <c r="CK27" s="1325"/>
      <c r="CL27" s="1325"/>
      <c r="CM27" s="1325"/>
      <c r="CN27" s="1325"/>
      <c r="CO27" s="1325"/>
      <c r="CP27" s="1325"/>
      <c r="CQ27" s="1325"/>
      <c r="CR27" s="1325"/>
      <c r="CS27" s="1325"/>
      <c r="CT27" s="1325"/>
      <c r="CU27" s="1325"/>
      <c r="CV27" s="1325"/>
      <c r="CW27" s="1325"/>
      <c r="CX27" s="1325"/>
      <c r="CY27" s="1325"/>
      <c r="CZ27" s="1325"/>
      <c r="DA27" s="1325"/>
      <c r="DB27" s="1325"/>
      <c r="DC27" s="1325"/>
      <c r="DD27" s="1325"/>
      <c r="DE27" s="1325"/>
      <c r="DF27" s="1325"/>
      <c r="DG27" s="1325"/>
      <c r="DH27" s="1325"/>
      <c r="DI27" s="1325"/>
      <c r="DJ27" s="1325"/>
      <c r="DK27" s="1325"/>
      <c r="DL27" s="1325"/>
      <c r="DM27" s="1325"/>
      <c r="DN27" s="1325"/>
      <c r="DO27" s="1325"/>
      <c r="DP27" s="1325"/>
      <c r="DQ27" s="1325"/>
      <c r="DR27" s="1325"/>
      <c r="DS27" s="1325"/>
      <c r="DT27" s="1325"/>
      <c r="DU27" s="1325"/>
      <c r="DV27" s="1325"/>
      <c r="DW27" s="1325"/>
      <c r="DX27" s="1325"/>
      <c r="DY27" s="1325"/>
      <c r="DZ27" s="1325"/>
      <c r="EA27" s="1325"/>
      <c r="EB27" s="1325"/>
      <c r="EC27" s="1325"/>
      <c r="ED27" s="1325"/>
      <c r="EE27" s="1325"/>
      <c r="EF27" s="1325"/>
      <c r="EG27" s="1325"/>
      <c r="EH27" s="1325"/>
      <c r="EI27" s="1325"/>
      <c r="EJ27" s="1325"/>
      <c r="EK27" s="1325"/>
      <c r="EL27" s="1325"/>
      <c r="EM27" s="1325"/>
      <c r="EN27" s="1325"/>
      <c r="EO27" s="1325"/>
      <c r="EP27" s="1325"/>
      <c r="EQ27" s="1325"/>
      <c r="ER27" s="1325"/>
      <c r="ES27" s="1325"/>
      <c r="ET27" s="1325"/>
      <c r="EU27" s="1325"/>
      <c r="EV27" s="1325"/>
      <c r="EW27" s="1325"/>
      <c r="EX27" s="1325"/>
      <c r="EY27" s="1325"/>
      <c r="EZ27" s="1325"/>
      <c r="FA27" s="1325"/>
      <c r="FB27" s="1325"/>
      <c r="FC27" s="1325"/>
      <c r="FD27" s="1325"/>
      <c r="FE27" s="1325"/>
      <c r="FF27" s="1325"/>
      <c r="FG27" s="1325"/>
      <c r="FH27" s="1325"/>
      <c r="FI27" s="1325"/>
      <c r="FJ27" s="1325"/>
      <c r="FK27" s="1325"/>
      <c r="FL27" s="1325"/>
      <c r="FM27" s="1325"/>
      <c r="FN27" s="1325"/>
      <c r="FO27" s="1325"/>
      <c r="FP27" s="1325"/>
      <c r="FQ27" s="1325"/>
      <c r="FR27" s="1325"/>
      <c r="FS27" s="1325"/>
      <c r="FT27" s="1325"/>
      <c r="FU27" s="1325"/>
      <c r="FV27" s="1325"/>
      <c r="FW27" s="1325"/>
      <c r="FX27" s="1325"/>
      <c r="FY27" s="1325"/>
      <c r="FZ27" s="1325"/>
      <c r="GA27" s="1325"/>
      <c r="GB27" s="1325"/>
      <c r="GC27" s="1325"/>
      <c r="GD27" s="1325"/>
      <c r="GE27" s="1325"/>
      <c r="GF27" s="1325"/>
      <c r="GG27" s="1325"/>
      <c r="GH27" s="1325"/>
      <c r="GI27" s="1325"/>
      <c r="GJ27" s="1325"/>
      <c r="GK27" s="1325"/>
      <c r="GL27" s="1325"/>
      <c r="GM27" s="1325"/>
      <c r="GN27" s="1325"/>
      <c r="GO27" s="1325"/>
      <c r="GP27" s="1325"/>
      <c r="GQ27" s="1325"/>
      <c r="GR27" s="1325"/>
      <c r="GS27" s="1325"/>
      <c r="GT27" s="1325"/>
      <c r="GU27" s="1325"/>
      <c r="GV27" s="1325"/>
      <c r="GW27" s="1325"/>
      <c r="GX27" s="1325"/>
      <c r="GY27" s="1325"/>
      <c r="GZ27" s="1325"/>
      <c r="HA27" s="1325"/>
      <c r="HB27" s="1325"/>
      <c r="HC27" s="1325"/>
      <c r="HD27" s="1325"/>
      <c r="HE27" s="1325"/>
      <c r="HF27" s="1325"/>
      <c r="HG27" s="1325"/>
      <c r="HH27" s="1325"/>
      <c r="HI27" s="1325"/>
      <c r="HJ27" s="1325"/>
      <c r="HK27" s="1325"/>
      <c r="HL27" s="1325"/>
      <c r="HM27" s="1325"/>
      <c r="HN27" s="1325"/>
      <c r="HO27" s="1325"/>
      <c r="HP27" s="1325"/>
      <c r="HQ27" s="1325"/>
      <c r="HR27" s="1325"/>
      <c r="HS27" s="1325"/>
      <c r="HT27" s="1325"/>
      <c r="HU27" s="1325"/>
      <c r="HV27" s="1325"/>
      <c r="HW27" s="1325"/>
      <c r="HX27" s="1325"/>
      <c r="HY27" s="1325"/>
      <c r="HZ27" s="1325"/>
      <c r="IA27" s="1325"/>
      <c r="IB27" s="1325"/>
      <c r="IC27" s="1325"/>
      <c r="ID27" s="1325"/>
      <c r="IE27" s="1325"/>
      <c r="IF27" s="1325"/>
      <c r="IG27" s="1325"/>
      <c r="IH27" s="1325"/>
      <c r="II27" s="1325"/>
      <c r="IJ27" s="1325"/>
      <c r="IK27" s="1325"/>
      <c r="IL27" s="1325"/>
      <c r="IM27" s="1325"/>
      <c r="IN27" s="1325"/>
      <c r="IO27" s="1325"/>
      <c r="IP27" s="1325"/>
      <c r="IQ27" s="1325"/>
      <c r="IR27" s="1325"/>
      <c r="IS27" s="1325"/>
      <c r="IT27" s="1325"/>
      <c r="IU27" s="1325"/>
      <c r="IV27" s="1325"/>
    </row>
    <row r="28" spans="1:256" ht="48" customHeight="1">
      <c r="A28" s="1368" t="s">
        <v>800</v>
      </c>
      <c r="B28" s="1369" t="s">
        <v>679</v>
      </c>
      <c r="C28" s="1371">
        <f>SUM(C29:C32)</f>
        <v>0</v>
      </c>
      <c r="D28" s="1371">
        <f>SUM(D29:D32)</f>
        <v>0</v>
      </c>
      <c r="E28" s="1325"/>
      <c r="F28" s="1325"/>
      <c r="G28" s="1325"/>
      <c r="H28" s="1325"/>
      <c r="I28" s="1325"/>
      <c r="J28" s="1325"/>
      <c r="K28" s="1325"/>
      <c r="L28" s="1325"/>
      <c r="M28" s="1325"/>
      <c r="N28" s="1325"/>
      <c r="O28" s="1325"/>
      <c r="P28" s="1325"/>
      <c r="Q28" s="1325"/>
      <c r="R28" s="1325"/>
      <c r="S28" s="1325"/>
      <c r="T28" s="1325"/>
      <c r="U28" s="1325"/>
      <c r="V28" s="1325"/>
      <c r="W28" s="1325"/>
      <c r="X28" s="1325"/>
      <c r="Y28" s="1325"/>
      <c r="Z28" s="1325"/>
      <c r="AA28" s="1325"/>
      <c r="AB28" s="1325"/>
      <c r="AC28" s="1325"/>
      <c r="AD28" s="1325"/>
      <c r="AE28" s="1325"/>
      <c r="AF28" s="1325"/>
      <c r="AG28" s="1325"/>
      <c r="AH28" s="1325"/>
      <c r="AI28" s="1325"/>
      <c r="AJ28" s="1325"/>
      <c r="AK28" s="1325"/>
      <c r="AL28" s="1325"/>
      <c r="AM28" s="1325"/>
      <c r="AN28" s="1325"/>
      <c r="AO28" s="1325"/>
      <c r="AP28" s="1325"/>
      <c r="AQ28" s="1325"/>
      <c r="AR28" s="1325"/>
      <c r="AS28" s="1325"/>
      <c r="AT28" s="1325"/>
      <c r="AU28" s="1325"/>
      <c r="AV28" s="1325"/>
      <c r="AW28" s="1325"/>
      <c r="AX28" s="1325"/>
      <c r="AY28" s="1325"/>
      <c r="AZ28" s="1325"/>
      <c r="BA28" s="1325"/>
      <c r="BB28" s="1325"/>
      <c r="BC28" s="1325"/>
      <c r="BD28" s="1325"/>
      <c r="BE28" s="1325"/>
      <c r="BF28" s="1325"/>
      <c r="BG28" s="1325"/>
      <c r="BH28" s="1325"/>
      <c r="BI28" s="1325"/>
      <c r="BJ28" s="1325"/>
      <c r="BK28" s="1325"/>
      <c r="BL28" s="1325"/>
      <c r="BM28" s="1325"/>
      <c r="BN28" s="1325"/>
      <c r="BO28" s="1325"/>
      <c r="BP28" s="1325"/>
      <c r="BQ28" s="1325"/>
      <c r="BR28" s="1325"/>
      <c r="BS28" s="1325"/>
      <c r="BT28" s="1325"/>
      <c r="BU28" s="1325"/>
      <c r="BV28" s="1325"/>
      <c r="BW28" s="1325"/>
      <c r="BX28" s="1325"/>
      <c r="BY28" s="1325"/>
      <c r="BZ28" s="1325"/>
      <c r="CA28" s="1325"/>
      <c r="CB28" s="1325"/>
      <c r="CC28" s="1325"/>
      <c r="CD28" s="1325"/>
      <c r="CE28" s="1325"/>
      <c r="CF28" s="1325"/>
      <c r="CG28" s="1325"/>
      <c r="CH28" s="1325"/>
      <c r="CI28" s="1325"/>
      <c r="CJ28" s="1325"/>
      <c r="CK28" s="1325"/>
      <c r="CL28" s="1325"/>
      <c r="CM28" s="1325"/>
      <c r="CN28" s="1325"/>
      <c r="CO28" s="1325"/>
      <c r="CP28" s="1325"/>
      <c r="CQ28" s="1325"/>
      <c r="CR28" s="1325"/>
      <c r="CS28" s="1325"/>
      <c r="CT28" s="1325"/>
      <c r="CU28" s="1325"/>
      <c r="CV28" s="1325"/>
      <c r="CW28" s="1325"/>
      <c r="CX28" s="1325"/>
      <c r="CY28" s="1325"/>
      <c r="CZ28" s="1325"/>
      <c r="DA28" s="1325"/>
      <c r="DB28" s="1325"/>
      <c r="DC28" s="1325"/>
      <c r="DD28" s="1325"/>
      <c r="DE28" s="1325"/>
      <c r="DF28" s="1325"/>
      <c r="DG28" s="1325"/>
      <c r="DH28" s="1325"/>
      <c r="DI28" s="1325"/>
      <c r="DJ28" s="1325"/>
      <c r="DK28" s="1325"/>
      <c r="DL28" s="1325"/>
      <c r="DM28" s="1325"/>
      <c r="DN28" s="1325"/>
      <c r="DO28" s="1325"/>
      <c r="DP28" s="1325"/>
      <c r="DQ28" s="1325"/>
      <c r="DR28" s="1325"/>
      <c r="DS28" s="1325"/>
      <c r="DT28" s="1325"/>
      <c r="DU28" s="1325"/>
      <c r="DV28" s="1325"/>
      <c r="DW28" s="1325"/>
      <c r="DX28" s="1325"/>
      <c r="DY28" s="1325"/>
      <c r="DZ28" s="1325"/>
      <c r="EA28" s="1325"/>
      <c r="EB28" s="1325"/>
      <c r="EC28" s="1325"/>
      <c r="ED28" s="1325"/>
      <c r="EE28" s="1325"/>
      <c r="EF28" s="1325"/>
      <c r="EG28" s="1325"/>
      <c r="EH28" s="1325"/>
      <c r="EI28" s="1325"/>
      <c r="EJ28" s="1325"/>
      <c r="EK28" s="1325"/>
      <c r="EL28" s="1325"/>
      <c r="EM28" s="1325"/>
      <c r="EN28" s="1325"/>
      <c r="EO28" s="1325"/>
      <c r="EP28" s="1325"/>
      <c r="EQ28" s="1325"/>
      <c r="ER28" s="1325"/>
      <c r="ES28" s="1325"/>
      <c r="ET28" s="1325"/>
      <c r="EU28" s="1325"/>
      <c r="EV28" s="1325"/>
      <c r="EW28" s="1325"/>
      <c r="EX28" s="1325"/>
      <c r="EY28" s="1325"/>
      <c r="EZ28" s="1325"/>
      <c r="FA28" s="1325"/>
      <c r="FB28" s="1325"/>
      <c r="FC28" s="1325"/>
      <c r="FD28" s="1325"/>
      <c r="FE28" s="1325"/>
      <c r="FF28" s="1325"/>
      <c r="FG28" s="1325"/>
      <c r="FH28" s="1325"/>
      <c r="FI28" s="1325"/>
      <c r="FJ28" s="1325"/>
      <c r="FK28" s="1325"/>
      <c r="FL28" s="1325"/>
      <c r="FM28" s="1325"/>
      <c r="FN28" s="1325"/>
      <c r="FO28" s="1325"/>
      <c r="FP28" s="1325"/>
      <c r="FQ28" s="1325"/>
      <c r="FR28" s="1325"/>
      <c r="FS28" s="1325"/>
      <c r="FT28" s="1325"/>
      <c r="FU28" s="1325"/>
      <c r="FV28" s="1325"/>
      <c r="FW28" s="1325"/>
      <c r="FX28" s="1325"/>
      <c r="FY28" s="1325"/>
      <c r="FZ28" s="1325"/>
      <c r="GA28" s="1325"/>
      <c r="GB28" s="1325"/>
      <c r="GC28" s="1325"/>
      <c r="GD28" s="1325"/>
      <c r="GE28" s="1325"/>
      <c r="GF28" s="1325"/>
      <c r="GG28" s="1325"/>
      <c r="GH28" s="1325"/>
      <c r="GI28" s="1325"/>
      <c r="GJ28" s="1325"/>
      <c r="GK28" s="1325"/>
      <c r="GL28" s="1325"/>
      <c r="GM28" s="1325"/>
      <c r="GN28" s="1325"/>
      <c r="GO28" s="1325"/>
      <c r="GP28" s="1325"/>
      <c r="GQ28" s="1325"/>
      <c r="GR28" s="1325"/>
      <c r="GS28" s="1325"/>
      <c r="GT28" s="1325"/>
      <c r="GU28" s="1325"/>
      <c r="GV28" s="1325"/>
      <c r="GW28" s="1325"/>
      <c r="GX28" s="1325"/>
      <c r="GY28" s="1325"/>
      <c r="GZ28" s="1325"/>
      <c r="HA28" s="1325"/>
      <c r="HB28" s="1325"/>
      <c r="HC28" s="1325"/>
      <c r="HD28" s="1325"/>
      <c r="HE28" s="1325"/>
      <c r="HF28" s="1325"/>
      <c r="HG28" s="1325"/>
      <c r="HH28" s="1325"/>
      <c r="HI28" s="1325"/>
      <c r="HJ28" s="1325"/>
      <c r="HK28" s="1325"/>
      <c r="HL28" s="1325"/>
      <c r="HM28" s="1325"/>
      <c r="HN28" s="1325"/>
      <c r="HO28" s="1325"/>
      <c r="HP28" s="1325"/>
      <c r="HQ28" s="1325"/>
      <c r="HR28" s="1325"/>
      <c r="HS28" s="1325"/>
      <c r="HT28" s="1325"/>
      <c r="HU28" s="1325"/>
      <c r="HV28" s="1325"/>
      <c r="HW28" s="1325"/>
      <c r="HX28" s="1325"/>
      <c r="HY28" s="1325"/>
      <c r="HZ28" s="1325"/>
      <c r="IA28" s="1325"/>
      <c r="IB28" s="1325"/>
      <c r="IC28" s="1325"/>
      <c r="ID28" s="1325"/>
      <c r="IE28" s="1325"/>
      <c r="IF28" s="1325"/>
      <c r="IG28" s="1325"/>
      <c r="IH28" s="1325"/>
      <c r="II28" s="1325"/>
      <c r="IJ28" s="1325"/>
      <c r="IK28" s="1325"/>
      <c r="IL28" s="1325"/>
      <c r="IM28" s="1325"/>
      <c r="IN28" s="1325"/>
      <c r="IO28" s="1325"/>
      <c r="IP28" s="1325"/>
      <c r="IQ28" s="1325"/>
      <c r="IR28" s="1325"/>
      <c r="IS28" s="1325"/>
      <c r="IT28" s="1325"/>
      <c r="IU28" s="1325"/>
      <c r="IV28" s="1325"/>
    </row>
    <row r="29" spans="1:256" ht="48" customHeight="1">
      <c r="A29" s="1365" t="s">
        <v>801</v>
      </c>
      <c r="B29" s="1366" t="s">
        <v>680</v>
      </c>
      <c r="C29" s="1367"/>
      <c r="D29" s="1367"/>
      <c r="E29" s="1325"/>
      <c r="F29" s="1325"/>
      <c r="G29" s="1325"/>
      <c r="H29" s="1325"/>
      <c r="I29" s="1325"/>
      <c r="J29" s="1325"/>
      <c r="K29" s="1325"/>
      <c r="L29" s="1325"/>
      <c r="M29" s="1325"/>
      <c r="N29" s="1325"/>
      <c r="O29" s="1325"/>
      <c r="P29" s="1325"/>
      <c r="Q29" s="1325"/>
      <c r="R29" s="1325"/>
      <c r="S29" s="1325"/>
      <c r="T29" s="1325"/>
      <c r="U29" s="1325"/>
      <c r="V29" s="1325"/>
      <c r="W29" s="1325"/>
      <c r="X29" s="1325"/>
      <c r="Y29" s="1325"/>
      <c r="Z29" s="1325"/>
      <c r="AA29" s="1325"/>
      <c r="AB29" s="1325"/>
      <c r="AC29" s="1325"/>
      <c r="AD29" s="1325"/>
      <c r="AE29" s="1325"/>
      <c r="AF29" s="1325"/>
      <c r="AG29" s="1325"/>
      <c r="AH29" s="1325"/>
      <c r="AI29" s="1325"/>
      <c r="AJ29" s="1325"/>
      <c r="AK29" s="1325"/>
      <c r="AL29" s="1325"/>
      <c r="AM29" s="1325"/>
      <c r="AN29" s="1325"/>
      <c r="AO29" s="1325"/>
      <c r="AP29" s="1325"/>
      <c r="AQ29" s="1325"/>
      <c r="AR29" s="1325"/>
      <c r="AS29" s="1325"/>
      <c r="AT29" s="1325"/>
      <c r="AU29" s="1325"/>
      <c r="AV29" s="1325"/>
      <c r="AW29" s="1325"/>
      <c r="AX29" s="1325"/>
      <c r="AY29" s="1325"/>
      <c r="AZ29" s="1325"/>
      <c r="BA29" s="1325"/>
      <c r="BB29" s="1325"/>
      <c r="BC29" s="1325"/>
      <c r="BD29" s="1325"/>
      <c r="BE29" s="1325"/>
      <c r="BF29" s="1325"/>
      <c r="BG29" s="1325"/>
      <c r="BH29" s="1325"/>
      <c r="BI29" s="1325"/>
      <c r="BJ29" s="1325"/>
      <c r="BK29" s="1325"/>
      <c r="BL29" s="1325"/>
      <c r="BM29" s="1325"/>
      <c r="BN29" s="1325"/>
      <c r="BO29" s="1325"/>
      <c r="BP29" s="1325"/>
      <c r="BQ29" s="1325"/>
      <c r="BR29" s="1325"/>
      <c r="BS29" s="1325"/>
      <c r="BT29" s="1325"/>
      <c r="BU29" s="1325"/>
      <c r="BV29" s="1325"/>
      <c r="BW29" s="1325"/>
      <c r="BX29" s="1325"/>
      <c r="BY29" s="1325"/>
      <c r="BZ29" s="1325"/>
      <c r="CA29" s="1325"/>
      <c r="CB29" s="1325"/>
      <c r="CC29" s="1325"/>
      <c r="CD29" s="1325"/>
      <c r="CE29" s="1325"/>
      <c r="CF29" s="1325"/>
      <c r="CG29" s="1325"/>
      <c r="CH29" s="1325"/>
      <c r="CI29" s="1325"/>
      <c r="CJ29" s="1325"/>
      <c r="CK29" s="1325"/>
      <c r="CL29" s="1325"/>
      <c r="CM29" s="1325"/>
      <c r="CN29" s="1325"/>
      <c r="CO29" s="1325"/>
      <c r="CP29" s="1325"/>
      <c r="CQ29" s="1325"/>
      <c r="CR29" s="1325"/>
      <c r="CS29" s="1325"/>
      <c r="CT29" s="1325"/>
      <c r="CU29" s="1325"/>
      <c r="CV29" s="1325"/>
      <c r="CW29" s="1325"/>
      <c r="CX29" s="1325"/>
      <c r="CY29" s="1325"/>
      <c r="CZ29" s="1325"/>
      <c r="DA29" s="1325"/>
      <c r="DB29" s="1325"/>
      <c r="DC29" s="1325"/>
      <c r="DD29" s="1325"/>
      <c r="DE29" s="1325"/>
      <c r="DF29" s="1325"/>
      <c r="DG29" s="1325"/>
      <c r="DH29" s="1325"/>
      <c r="DI29" s="1325"/>
      <c r="DJ29" s="1325"/>
      <c r="DK29" s="1325"/>
      <c r="DL29" s="1325"/>
      <c r="DM29" s="1325"/>
      <c r="DN29" s="1325"/>
      <c r="DO29" s="1325"/>
      <c r="DP29" s="1325"/>
      <c r="DQ29" s="1325"/>
      <c r="DR29" s="1325"/>
      <c r="DS29" s="1325"/>
      <c r="DT29" s="1325"/>
      <c r="DU29" s="1325"/>
      <c r="DV29" s="1325"/>
      <c r="DW29" s="1325"/>
      <c r="DX29" s="1325"/>
      <c r="DY29" s="1325"/>
      <c r="DZ29" s="1325"/>
      <c r="EA29" s="1325"/>
      <c r="EB29" s="1325"/>
      <c r="EC29" s="1325"/>
      <c r="ED29" s="1325"/>
      <c r="EE29" s="1325"/>
      <c r="EF29" s="1325"/>
      <c r="EG29" s="1325"/>
      <c r="EH29" s="1325"/>
      <c r="EI29" s="1325"/>
      <c r="EJ29" s="1325"/>
      <c r="EK29" s="1325"/>
      <c r="EL29" s="1325"/>
      <c r="EM29" s="1325"/>
      <c r="EN29" s="1325"/>
      <c r="EO29" s="1325"/>
      <c r="EP29" s="1325"/>
      <c r="EQ29" s="1325"/>
      <c r="ER29" s="1325"/>
      <c r="ES29" s="1325"/>
      <c r="ET29" s="1325"/>
      <c r="EU29" s="1325"/>
      <c r="EV29" s="1325"/>
      <c r="EW29" s="1325"/>
      <c r="EX29" s="1325"/>
      <c r="EY29" s="1325"/>
      <c r="EZ29" s="1325"/>
      <c r="FA29" s="1325"/>
      <c r="FB29" s="1325"/>
      <c r="FC29" s="1325"/>
      <c r="FD29" s="1325"/>
      <c r="FE29" s="1325"/>
      <c r="FF29" s="1325"/>
      <c r="FG29" s="1325"/>
      <c r="FH29" s="1325"/>
      <c r="FI29" s="1325"/>
      <c r="FJ29" s="1325"/>
      <c r="FK29" s="1325"/>
      <c r="FL29" s="1325"/>
      <c r="FM29" s="1325"/>
      <c r="FN29" s="1325"/>
      <c r="FO29" s="1325"/>
      <c r="FP29" s="1325"/>
      <c r="FQ29" s="1325"/>
      <c r="FR29" s="1325"/>
      <c r="FS29" s="1325"/>
      <c r="FT29" s="1325"/>
      <c r="FU29" s="1325"/>
      <c r="FV29" s="1325"/>
      <c r="FW29" s="1325"/>
      <c r="FX29" s="1325"/>
      <c r="FY29" s="1325"/>
      <c r="FZ29" s="1325"/>
      <c r="GA29" s="1325"/>
      <c r="GB29" s="1325"/>
      <c r="GC29" s="1325"/>
      <c r="GD29" s="1325"/>
      <c r="GE29" s="1325"/>
      <c r="GF29" s="1325"/>
      <c r="GG29" s="1325"/>
      <c r="GH29" s="1325"/>
      <c r="GI29" s="1325"/>
      <c r="GJ29" s="1325"/>
      <c r="GK29" s="1325"/>
      <c r="GL29" s="1325"/>
      <c r="GM29" s="1325"/>
      <c r="GN29" s="1325"/>
      <c r="GO29" s="1325"/>
      <c r="GP29" s="1325"/>
      <c r="GQ29" s="1325"/>
      <c r="GR29" s="1325"/>
      <c r="GS29" s="1325"/>
      <c r="GT29" s="1325"/>
      <c r="GU29" s="1325"/>
      <c r="GV29" s="1325"/>
      <c r="GW29" s="1325"/>
      <c r="GX29" s="1325"/>
      <c r="GY29" s="1325"/>
      <c r="GZ29" s="1325"/>
      <c r="HA29" s="1325"/>
      <c r="HB29" s="1325"/>
      <c r="HC29" s="1325"/>
      <c r="HD29" s="1325"/>
      <c r="HE29" s="1325"/>
      <c r="HF29" s="1325"/>
      <c r="HG29" s="1325"/>
      <c r="HH29" s="1325"/>
      <c r="HI29" s="1325"/>
      <c r="HJ29" s="1325"/>
      <c r="HK29" s="1325"/>
      <c r="HL29" s="1325"/>
      <c r="HM29" s="1325"/>
      <c r="HN29" s="1325"/>
      <c r="HO29" s="1325"/>
      <c r="HP29" s="1325"/>
      <c r="HQ29" s="1325"/>
      <c r="HR29" s="1325"/>
      <c r="HS29" s="1325"/>
      <c r="HT29" s="1325"/>
      <c r="HU29" s="1325"/>
      <c r="HV29" s="1325"/>
      <c r="HW29" s="1325"/>
      <c r="HX29" s="1325"/>
      <c r="HY29" s="1325"/>
      <c r="HZ29" s="1325"/>
      <c r="IA29" s="1325"/>
      <c r="IB29" s="1325"/>
      <c r="IC29" s="1325"/>
      <c r="ID29" s="1325"/>
      <c r="IE29" s="1325"/>
      <c r="IF29" s="1325"/>
      <c r="IG29" s="1325"/>
      <c r="IH29" s="1325"/>
      <c r="II29" s="1325"/>
      <c r="IJ29" s="1325"/>
      <c r="IK29" s="1325"/>
      <c r="IL29" s="1325"/>
      <c r="IM29" s="1325"/>
      <c r="IN29" s="1325"/>
      <c r="IO29" s="1325"/>
      <c r="IP29" s="1325"/>
      <c r="IQ29" s="1325"/>
      <c r="IR29" s="1325"/>
      <c r="IS29" s="1325"/>
      <c r="IT29" s="1325"/>
      <c r="IU29" s="1325"/>
      <c r="IV29" s="1325"/>
    </row>
    <row r="30" spans="1:256" ht="48" customHeight="1">
      <c r="A30" s="1365" t="s">
        <v>802</v>
      </c>
      <c r="B30" s="1366" t="s">
        <v>803</v>
      </c>
      <c r="C30" s="1367"/>
      <c r="D30" s="1367"/>
      <c r="E30" s="1325"/>
      <c r="F30" s="1325"/>
      <c r="G30" s="1325"/>
      <c r="H30" s="1325"/>
      <c r="I30" s="1325"/>
      <c r="J30" s="1325"/>
      <c r="K30" s="1325"/>
      <c r="L30" s="1325"/>
      <c r="M30" s="1325"/>
      <c r="N30" s="1325"/>
      <c r="O30" s="1325"/>
      <c r="P30" s="1325"/>
      <c r="Q30" s="1325"/>
      <c r="R30" s="1325"/>
      <c r="S30" s="1325"/>
      <c r="T30" s="1325"/>
      <c r="U30" s="1325"/>
      <c r="V30" s="1325"/>
      <c r="W30" s="1325"/>
      <c r="X30" s="1325"/>
      <c r="Y30" s="1325"/>
      <c r="Z30" s="1325"/>
      <c r="AA30" s="1325"/>
      <c r="AB30" s="1325"/>
      <c r="AC30" s="1325"/>
      <c r="AD30" s="1325"/>
      <c r="AE30" s="1325"/>
      <c r="AF30" s="1325"/>
      <c r="AG30" s="1325"/>
      <c r="AH30" s="1325"/>
      <c r="AI30" s="1325"/>
      <c r="AJ30" s="1325"/>
      <c r="AK30" s="1325"/>
      <c r="AL30" s="1325"/>
      <c r="AM30" s="1325"/>
      <c r="AN30" s="1325"/>
      <c r="AO30" s="1325"/>
      <c r="AP30" s="1325"/>
      <c r="AQ30" s="1325"/>
      <c r="AR30" s="1325"/>
      <c r="AS30" s="1325"/>
      <c r="AT30" s="1325"/>
      <c r="AU30" s="1325"/>
      <c r="AV30" s="1325"/>
      <c r="AW30" s="1325"/>
      <c r="AX30" s="1325"/>
      <c r="AY30" s="1325"/>
      <c r="AZ30" s="1325"/>
      <c r="BA30" s="1325"/>
      <c r="BB30" s="1325"/>
      <c r="BC30" s="1325"/>
      <c r="BD30" s="1325"/>
      <c r="BE30" s="1325"/>
      <c r="BF30" s="1325"/>
      <c r="BG30" s="1325"/>
      <c r="BH30" s="1325"/>
      <c r="BI30" s="1325"/>
      <c r="BJ30" s="1325"/>
      <c r="BK30" s="1325"/>
      <c r="BL30" s="1325"/>
      <c r="BM30" s="1325"/>
      <c r="BN30" s="1325"/>
      <c r="BO30" s="1325"/>
      <c r="BP30" s="1325"/>
      <c r="BQ30" s="1325"/>
      <c r="BR30" s="1325"/>
      <c r="BS30" s="1325"/>
      <c r="BT30" s="1325"/>
      <c r="BU30" s="1325"/>
      <c r="BV30" s="1325"/>
      <c r="BW30" s="1325"/>
      <c r="BX30" s="1325"/>
      <c r="BY30" s="1325"/>
      <c r="BZ30" s="1325"/>
      <c r="CA30" s="1325"/>
      <c r="CB30" s="1325"/>
      <c r="CC30" s="1325"/>
      <c r="CD30" s="1325"/>
      <c r="CE30" s="1325"/>
      <c r="CF30" s="1325"/>
      <c r="CG30" s="1325"/>
      <c r="CH30" s="1325"/>
      <c r="CI30" s="1325"/>
      <c r="CJ30" s="1325"/>
      <c r="CK30" s="1325"/>
      <c r="CL30" s="1325"/>
      <c r="CM30" s="1325"/>
      <c r="CN30" s="1325"/>
      <c r="CO30" s="1325"/>
      <c r="CP30" s="1325"/>
      <c r="CQ30" s="1325"/>
      <c r="CR30" s="1325"/>
      <c r="CS30" s="1325"/>
      <c r="CT30" s="1325"/>
      <c r="CU30" s="1325"/>
      <c r="CV30" s="1325"/>
      <c r="CW30" s="1325"/>
      <c r="CX30" s="1325"/>
      <c r="CY30" s="1325"/>
      <c r="CZ30" s="1325"/>
      <c r="DA30" s="1325"/>
      <c r="DB30" s="1325"/>
      <c r="DC30" s="1325"/>
      <c r="DD30" s="1325"/>
      <c r="DE30" s="1325"/>
      <c r="DF30" s="1325"/>
      <c r="DG30" s="1325"/>
      <c r="DH30" s="1325"/>
      <c r="DI30" s="1325"/>
      <c r="DJ30" s="1325"/>
      <c r="DK30" s="1325"/>
      <c r="DL30" s="1325"/>
      <c r="DM30" s="1325"/>
      <c r="DN30" s="1325"/>
      <c r="DO30" s="1325"/>
      <c r="DP30" s="1325"/>
      <c r="DQ30" s="1325"/>
      <c r="DR30" s="1325"/>
      <c r="DS30" s="1325"/>
      <c r="DT30" s="1325"/>
      <c r="DU30" s="1325"/>
      <c r="DV30" s="1325"/>
      <c r="DW30" s="1325"/>
      <c r="DX30" s="1325"/>
      <c r="DY30" s="1325"/>
      <c r="DZ30" s="1325"/>
      <c r="EA30" s="1325"/>
      <c r="EB30" s="1325"/>
      <c r="EC30" s="1325"/>
      <c r="ED30" s="1325"/>
      <c r="EE30" s="1325"/>
      <c r="EF30" s="1325"/>
      <c r="EG30" s="1325"/>
      <c r="EH30" s="1325"/>
      <c r="EI30" s="1325"/>
      <c r="EJ30" s="1325"/>
      <c r="EK30" s="1325"/>
      <c r="EL30" s="1325"/>
      <c r="EM30" s="1325"/>
      <c r="EN30" s="1325"/>
      <c r="EO30" s="1325"/>
      <c r="EP30" s="1325"/>
      <c r="EQ30" s="1325"/>
      <c r="ER30" s="1325"/>
      <c r="ES30" s="1325"/>
      <c r="ET30" s="1325"/>
      <c r="EU30" s="1325"/>
      <c r="EV30" s="1325"/>
      <c r="EW30" s="1325"/>
      <c r="EX30" s="1325"/>
      <c r="EY30" s="1325"/>
      <c r="EZ30" s="1325"/>
      <c r="FA30" s="1325"/>
      <c r="FB30" s="1325"/>
      <c r="FC30" s="1325"/>
      <c r="FD30" s="1325"/>
      <c r="FE30" s="1325"/>
      <c r="FF30" s="1325"/>
      <c r="FG30" s="1325"/>
      <c r="FH30" s="1325"/>
      <c r="FI30" s="1325"/>
      <c r="FJ30" s="1325"/>
      <c r="FK30" s="1325"/>
      <c r="FL30" s="1325"/>
      <c r="FM30" s="1325"/>
      <c r="FN30" s="1325"/>
      <c r="FO30" s="1325"/>
      <c r="FP30" s="1325"/>
      <c r="FQ30" s="1325"/>
      <c r="FR30" s="1325"/>
      <c r="FS30" s="1325"/>
      <c r="FT30" s="1325"/>
      <c r="FU30" s="1325"/>
      <c r="FV30" s="1325"/>
      <c r="FW30" s="1325"/>
      <c r="FX30" s="1325"/>
      <c r="FY30" s="1325"/>
      <c r="FZ30" s="1325"/>
      <c r="GA30" s="1325"/>
      <c r="GB30" s="1325"/>
      <c r="GC30" s="1325"/>
      <c r="GD30" s="1325"/>
      <c r="GE30" s="1325"/>
      <c r="GF30" s="1325"/>
      <c r="GG30" s="1325"/>
      <c r="GH30" s="1325"/>
      <c r="GI30" s="1325"/>
      <c r="GJ30" s="1325"/>
      <c r="GK30" s="1325"/>
      <c r="GL30" s="1325"/>
      <c r="GM30" s="1325"/>
      <c r="GN30" s="1325"/>
      <c r="GO30" s="1325"/>
      <c r="GP30" s="1325"/>
      <c r="GQ30" s="1325"/>
      <c r="GR30" s="1325"/>
      <c r="GS30" s="1325"/>
      <c r="GT30" s="1325"/>
      <c r="GU30" s="1325"/>
      <c r="GV30" s="1325"/>
      <c r="GW30" s="1325"/>
      <c r="GX30" s="1325"/>
      <c r="GY30" s="1325"/>
      <c r="GZ30" s="1325"/>
      <c r="HA30" s="1325"/>
      <c r="HB30" s="1325"/>
      <c r="HC30" s="1325"/>
      <c r="HD30" s="1325"/>
      <c r="HE30" s="1325"/>
      <c r="HF30" s="1325"/>
      <c r="HG30" s="1325"/>
      <c r="HH30" s="1325"/>
      <c r="HI30" s="1325"/>
      <c r="HJ30" s="1325"/>
      <c r="HK30" s="1325"/>
      <c r="HL30" s="1325"/>
      <c r="HM30" s="1325"/>
      <c r="HN30" s="1325"/>
      <c r="HO30" s="1325"/>
      <c r="HP30" s="1325"/>
      <c r="HQ30" s="1325"/>
      <c r="HR30" s="1325"/>
      <c r="HS30" s="1325"/>
      <c r="HT30" s="1325"/>
      <c r="HU30" s="1325"/>
      <c r="HV30" s="1325"/>
      <c r="HW30" s="1325"/>
      <c r="HX30" s="1325"/>
      <c r="HY30" s="1325"/>
      <c r="HZ30" s="1325"/>
      <c r="IA30" s="1325"/>
      <c r="IB30" s="1325"/>
      <c r="IC30" s="1325"/>
      <c r="ID30" s="1325"/>
      <c r="IE30" s="1325"/>
      <c r="IF30" s="1325"/>
      <c r="IG30" s="1325"/>
      <c r="IH30" s="1325"/>
      <c r="II30" s="1325"/>
      <c r="IJ30" s="1325"/>
      <c r="IK30" s="1325"/>
      <c r="IL30" s="1325"/>
      <c r="IM30" s="1325"/>
      <c r="IN30" s="1325"/>
      <c r="IO30" s="1325"/>
      <c r="IP30" s="1325"/>
      <c r="IQ30" s="1325"/>
      <c r="IR30" s="1325"/>
      <c r="IS30" s="1325"/>
      <c r="IT30" s="1325"/>
      <c r="IU30" s="1325"/>
      <c r="IV30" s="1325"/>
    </row>
    <row r="31" spans="1:256" ht="48" customHeight="1">
      <c r="A31" s="1365" t="s">
        <v>804</v>
      </c>
      <c r="B31" s="1366" t="s">
        <v>805</v>
      </c>
      <c r="C31" s="1367"/>
      <c r="D31" s="1367"/>
      <c r="E31" s="1325"/>
      <c r="F31" s="1325"/>
      <c r="G31" s="1325"/>
      <c r="H31" s="1325"/>
      <c r="I31" s="1325"/>
      <c r="J31" s="1325"/>
      <c r="K31" s="1325"/>
      <c r="L31" s="1325"/>
      <c r="M31" s="1325"/>
      <c r="N31" s="1325"/>
      <c r="O31" s="1325"/>
      <c r="P31" s="1325"/>
      <c r="Q31" s="1325"/>
      <c r="R31" s="1325"/>
      <c r="S31" s="1325"/>
      <c r="T31" s="1325"/>
      <c r="U31" s="1325"/>
      <c r="V31" s="1325"/>
      <c r="W31" s="1325"/>
      <c r="X31" s="1325"/>
      <c r="Y31" s="1325"/>
      <c r="Z31" s="1325"/>
      <c r="AA31" s="1325"/>
      <c r="AB31" s="1325"/>
      <c r="AC31" s="1325"/>
      <c r="AD31" s="1325"/>
      <c r="AE31" s="1325"/>
      <c r="AF31" s="1325"/>
      <c r="AG31" s="1325"/>
      <c r="AH31" s="1325"/>
      <c r="AI31" s="1325"/>
      <c r="AJ31" s="1325"/>
      <c r="AK31" s="1325"/>
      <c r="AL31" s="1325"/>
      <c r="AM31" s="1325"/>
      <c r="AN31" s="1325"/>
      <c r="AO31" s="1325"/>
      <c r="AP31" s="1325"/>
      <c r="AQ31" s="1325"/>
      <c r="AR31" s="1325"/>
      <c r="AS31" s="1325"/>
      <c r="AT31" s="1325"/>
      <c r="AU31" s="1325"/>
      <c r="AV31" s="1325"/>
      <c r="AW31" s="1325"/>
      <c r="AX31" s="1325"/>
      <c r="AY31" s="1325"/>
      <c r="AZ31" s="1325"/>
      <c r="BA31" s="1325"/>
      <c r="BB31" s="1325"/>
      <c r="BC31" s="1325"/>
      <c r="BD31" s="1325"/>
      <c r="BE31" s="1325"/>
      <c r="BF31" s="1325"/>
      <c r="BG31" s="1325"/>
      <c r="BH31" s="1325"/>
      <c r="BI31" s="1325"/>
      <c r="BJ31" s="1325"/>
      <c r="BK31" s="1325"/>
      <c r="BL31" s="1325"/>
      <c r="BM31" s="1325"/>
      <c r="BN31" s="1325"/>
      <c r="BO31" s="1325"/>
      <c r="BP31" s="1325"/>
      <c r="BQ31" s="1325"/>
      <c r="BR31" s="1325"/>
      <c r="BS31" s="1325"/>
      <c r="BT31" s="1325"/>
      <c r="BU31" s="1325"/>
      <c r="BV31" s="1325"/>
      <c r="BW31" s="1325"/>
      <c r="BX31" s="1325"/>
      <c r="BY31" s="1325"/>
      <c r="BZ31" s="1325"/>
      <c r="CA31" s="1325"/>
      <c r="CB31" s="1325"/>
      <c r="CC31" s="1325"/>
      <c r="CD31" s="1325"/>
      <c r="CE31" s="1325"/>
      <c r="CF31" s="1325"/>
      <c r="CG31" s="1325"/>
      <c r="CH31" s="1325"/>
      <c r="CI31" s="1325"/>
      <c r="CJ31" s="1325"/>
      <c r="CK31" s="1325"/>
      <c r="CL31" s="1325"/>
      <c r="CM31" s="1325"/>
      <c r="CN31" s="1325"/>
      <c r="CO31" s="1325"/>
      <c r="CP31" s="1325"/>
      <c r="CQ31" s="1325"/>
      <c r="CR31" s="1325"/>
      <c r="CS31" s="1325"/>
      <c r="CT31" s="1325"/>
      <c r="CU31" s="1325"/>
      <c r="CV31" s="1325"/>
      <c r="CW31" s="1325"/>
      <c r="CX31" s="1325"/>
      <c r="CY31" s="1325"/>
      <c r="CZ31" s="1325"/>
      <c r="DA31" s="1325"/>
      <c r="DB31" s="1325"/>
      <c r="DC31" s="1325"/>
      <c r="DD31" s="1325"/>
      <c r="DE31" s="1325"/>
      <c r="DF31" s="1325"/>
      <c r="DG31" s="1325"/>
      <c r="DH31" s="1325"/>
      <c r="DI31" s="1325"/>
      <c r="DJ31" s="1325"/>
      <c r="DK31" s="1325"/>
      <c r="DL31" s="1325"/>
      <c r="DM31" s="1325"/>
      <c r="DN31" s="1325"/>
      <c r="DO31" s="1325"/>
      <c r="DP31" s="1325"/>
      <c r="DQ31" s="1325"/>
      <c r="DR31" s="1325"/>
      <c r="DS31" s="1325"/>
      <c r="DT31" s="1325"/>
      <c r="DU31" s="1325"/>
      <c r="DV31" s="1325"/>
      <c r="DW31" s="1325"/>
      <c r="DX31" s="1325"/>
      <c r="DY31" s="1325"/>
      <c r="DZ31" s="1325"/>
      <c r="EA31" s="1325"/>
      <c r="EB31" s="1325"/>
      <c r="EC31" s="1325"/>
      <c r="ED31" s="1325"/>
      <c r="EE31" s="1325"/>
      <c r="EF31" s="1325"/>
      <c r="EG31" s="1325"/>
      <c r="EH31" s="1325"/>
      <c r="EI31" s="1325"/>
      <c r="EJ31" s="1325"/>
      <c r="EK31" s="1325"/>
      <c r="EL31" s="1325"/>
      <c r="EM31" s="1325"/>
      <c r="EN31" s="1325"/>
      <c r="EO31" s="1325"/>
      <c r="EP31" s="1325"/>
      <c r="EQ31" s="1325"/>
      <c r="ER31" s="1325"/>
      <c r="ES31" s="1325"/>
      <c r="ET31" s="1325"/>
      <c r="EU31" s="1325"/>
      <c r="EV31" s="1325"/>
      <c r="EW31" s="1325"/>
      <c r="EX31" s="1325"/>
      <c r="EY31" s="1325"/>
      <c r="EZ31" s="1325"/>
      <c r="FA31" s="1325"/>
      <c r="FB31" s="1325"/>
      <c r="FC31" s="1325"/>
      <c r="FD31" s="1325"/>
      <c r="FE31" s="1325"/>
      <c r="FF31" s="1325"/>
      <c r="FG31" s="1325"/>
      <c r="FH31" s="1325"/>
      <c r="FI31" s="1325"/>
      <c r="FJ31" s="1325"/>
      <c r="FK31" s="1325"/>
      <c r="FL31" s="1325"/>
      <c r="FM31" s="1325"/>
      <c r="FN31" s="1325"/>
      <c r="FO31" s="1325"/>
      <c r="FP31" s="1325"/>
      <c r="FQ31" s="1325"/>
      <c r="FR31" s="1325"/>
      <c r="FS31" s="1325"/>
      <c r="FT31" s="1325"/>
      <c r="FU31" s="1325"/>
      <c r="FV31" s="1325"/>
      <c r="FW31" s="1325"/>
      <c r="FX31" s="1325"/>
      <c r="FY31" s="1325"/>
      <c r="FZ31" s="1325"/>
      <c r="GA31" s="1325"/>
      <c r="GB31" s="1325"/>
      <c r="GC31" s="1325"/>
      <c r="GD31" s="1325"/>
      <c r="GE31" s="1325"/>
      <c r="GF31" s="1325"/>
      <c r="GG31" s="1325"/>
      <c r="GH31" s="1325"/>
      <c r="GI31" s="1325"/>
      <c r="GJ31" s="1325"/>
      <c r="GK31" s="1325"/>
      <c r="GL31" s="1325"/>
      <c r="GM31" s="1325"/>
      <c r="GN31" s="1325"/>
      <c r="GO31" s="1325"/>
      <c r="GP31" s="1325"/>
      <c r="GQ31" s="1325"/>
      <c r="GR31" s="1325"/>
      <c r="GS31" s="1325"/>
      <c r="GT31" s="1325"/>
      <c r="GU31" s="1325"/>
      <c r="GV31" s="1325"/>
      <c r="GW31" s="1325"/>
      <c r="GX31" s="1325"/>
      <c r="GY31" s="1325"/>
      <c r="GZ31" s="1325"/>
      <c r="HA31" s="1325"/>
      <c r="HB31" s="1325"/>
      <c r="HC31" s="1325"/>
      <c r="HD31" s="1325"/>
      <c r="HE31" s="1325"/>
      <c r="HF31" s="1325"/>
      <c r="HG31" s="1325"/>
      <c r="HH31" s="1325"/>
      <c r="HI31" s="1325"/>
      <c r="HJ31" s="1325"/>
      <c r="HK31" s="1325"/>
      <c r="HL31" s="1325"/>
      <c r="HM31" s="1325"/>
      <c r="HN31" s="1325"/>
      <c r="HO31" s="1325"/>
      <c r="HP31" s="1325"/>
      <c r="HQ31" s="1325"/>
      <c r="HR31" s="1325"/>
      <c r="HS31" s="1325"/>
      <c r="HT31" s="1325"/>
      <c r="HU31" s="1325"/>
      <c r="HV31" s="1325"/>
      <c r="HW31" s="1325"/>
      <c r="HX31" s="1325"/>
      <c r="HY31" s="1325"/>
      <c r="HZ31" s="1325"/>
      <c r="IA31" s="1325"/>
      <c r="IB31" s="1325"/>
      <c r="IC31" s="1325"/>
      <c r="ID31" s="1325"/>
      <c r="IE31" s="1325"/>
      <c r="IF31" s="1325"/>
      <c r="IG31" s="1325"/>
      <c r="IH31" s="1325"/>
      <c r="II31" s="1325"/>
      <c r="IJ31" s="1325"/>
      <c r="IK31" s="1325"/>
      <c r="IL31" s="1325"/>
      <c r="IM31" s="1325"/>
      <c r="IN31" s="1325"/>
      <c r="IO31" s="1325"/>
      <c r="IP31" s="1325"/>
      <c r="IQ31" s="1325"/>
      <c r="IR31" s="1325"/>
      <c r="IS31" s="1325"/>
      <c r="IT31" s="1325"/>
      <c r="IU31" s="1325"/>
      <c r="IV31" s="1325"/>
    </row>
    <row r="32" spans="1:256" ht="48" customHeight="1">
      <c r="A32" s="1365" t="s">
        <v>806</v>
      </c>
      <c r="B32" s="1366" t="s">
        <v>807</v>
      </c>
      <c r="C32" s="1367"/>
      <c r="D32" s="1367"/>
      <c r="E32" s="1325"/>
      <c r="F32" s="1325"/>
      <c r="G32" s="1325"/>
      <c r="H32" s="1325"/>
      <c r="I32" s="1325"/>
      <c r="J32" s="1325"/>
      <c r="K32" s="1325"/>
      <c r="L32" s="1325"/>
      <c r="M32" s="1325"/>
      <c r="N32" s="1325"/>
      <c r="O32" s="1325"/>
      <c r="P32" s="1325"/>
      <c r="Q32" s="1325"/>
      <c r="R32" s="1325"/>
      <c r="S32" s="1325"/>
      <c r="T32" s="1325"/>
      <c r="U32" s="1325"/>
      <c r="V32" s="1325"/>
      <c r="W32" s="1325"/>
      <c r="X32" s="1325"/>
      <c r="Y32" s="1325"/>
      <c r="Z32" s="1325"/>
      <c r="AA32" s="1325"/>
      <c r="AB32" s="1325"/>
      <c r="AC32" s="1325"/>
      <c r="AD32" s="1325"/>
      <c r="AE32" s="1325"/>
      <c r="AF32" s="1325"/>
      <c r="AG32" s="1325"/>
      <c r="AH32" s="1325"/>
      <c r="AI32" s="1325"/>
      <c r="AJ32" s="1325"/>
      <c r="AK32" s="1325"/>
      <c r="AL32" s="1325"/>
      <c r="AM32" s="1325"/>
      <c r="AN32" s="1325"/>
      <c r="AO32" s="1325"/>
      <c r="AP32" s="1325"/>
      <c r="AQ32" s="1325"/>
      <c r="AR32" s="1325"/>
      <c r="AS32" s="1325"/>
      <c r="AT32" s="1325"/>
      <c r="AU32" s="1325"/>
      <c r="AV32" s="1325"/>
      <c r="AW32" s="1325"/>
      <c r="AX32" s="1325"/>
      <c r="AY32" s="1325"/>
      <c r="AZ32" s="1325"/>
      <c r="BA32" s="1325"/>
      <c r="BB32" s="1325"/>
      <c r="BC32" s="1325"/>
      <c r="BD32" s="1325"/>
      <c r="BE32" s="1325"/>
      <c r="BF32" s="1325"/>
      <c r="BG32" s="1325"/>
      <c r="BH32" s="1325"/>
      <c r="BI32" s="1325"/>
      <c r="BJ32" s="1325"/>
      <c r="BK32" s="1325"/>
      <c r="BL32" s="1325"/>
      <c r="BM32" s="1325"/>
      <c r="BN32" s="1325"/>
      <c r="BO32" s="1325"/>
      <c r="BP32" s="1325"/>
      <c r="BQ32" s="1325"/>
      <c r="BR32" s="1325"/>
      <c r="BS32" s="1325"/>
      <c r="BT32" s="1325"/>
      <c r="BU32" s="1325"/>
      <c r="BV32" s="1325"/>
      <c r="BW32" s="1325"/>
      <c r="BX32" s="1325"/>
      <c r="BY32" s="1325"/>
      <c r="BZ32" s="1325"/>
      <c r="CA32" s="1325"/>
      <c r="CB32" s="1325"/>
      <c r="CC32" s="1325"/>
      <c r="CD32" s="1325"/>
      <c r="CE32" s="1325"/>
      <c r="CF32" s="1325"/>
      <c r="CG32" s="1325"/>
      <c r="CH32" s="1325"/>
      <c r="CI32" s="1325"/>
      <c r="CJ32" s="1325"/>
      <c r="CK32" s="1325"/>
      <c r="CL32" s="1325"/>
      <c r="CM32" s="1325"/>
      <c r="CN32" s="1325"/>
      <c r="CO32" s="1325"/>
      <c r="CP32" s="1325"/>
      <c r="CQ32" s="1325"/>
      <c r="CR32" s="1325"/>
      <c r="CS32" s="1325"/>
      <c r="CT32" s="1325"/>
      <c r="CU32" s="1325"/>
      <c r="CV32" s="1325"/>
      <c r="CW32" s="1325"/>
      <c r="CX32" s="1325"/>
      <c r="CY32" s="1325"/>
      <c r="CZ32" s="1325"/>
      <c r="DA32" s="1325"/>
      <c r="DB32" s="1325"/>
      <c r="DC32" s="1325"/>
      <c r="DD32" s="1325"/>
      <c r="DE32" s="1325"/>
      <c r="DF32" s="1325"/>
      <c r="DG32" s="1325"/>
      <c r="DH32" s="1325"/>
      <c r="DI32" s="1325"/>
      <c r="DJ32" s="1325"/>
      <c r="DK32" s="1325"/>
      <c r="DL32" s="1325"/>
      <c r="DM32" s="1325"/>
      <c r="DN32" s="1325"/>
      <c r="DO32" s="1325"/>
      <c r="DP32" s="1325"/>
      <c r="DQ32" s="1325"/>
      <c r="DR32" s="1325"/>
      <c r="DS32" s="1325"/>
      <c r="DT32" s="1325"/>
      <c r="DU32" s="1325"/>
      <c r="DV32" s="1325"/>
      <c r="DW32" s="1325"/>
      <c r="DX32" s="1325"/>
      <c r="DY32" s="1325"/>
      <c r="DZ32" s="1325"/>
      <c r="EA32" s="1325"/>
      <c r="EB32" s="1325"/>
      <c r="EC32" s="1325"/>
      <c r="ED32" s="1325"/>
      <c r="EE32" s="1325"/>
      <c r="EF32" s="1325"/>
      <c r="EG32" s="1325"/>
      <c r="EH32" s="1325"/>
      <c r="EI32" s="1325"/>
      <c r="EJ32" s="1325"/>
      <c r="EK32" s="1325"/>
      <c r="EL32" s="1325"/>
      <c r="EM32" s="1325"/>
      <c r="EN32" s="1325"/>
      <c r="EO32" s="1325"/>
      <c r="EP32" s="1325"/>
      <c r="EQ32" s="1325"/>
      <c r="ER32" s="1325"/>
      <c r="ES32" s="1325"/>
      <c r="ET32" s="1325"/>
      <c r="EU32" s="1325"/>
      <c r="EV32" s="1325"/>
      <c r="EW32" s="1325"/>
      <c r="EX32" s="1325"/>
      <c r="EY32" s="1325"/>
      <c r="EZ32" s="1325"/>
      <c r="FA32" s="1325"/>
      <c r="FB32" s="1325"/>
      <c r="FC32" s="1325"/>
      <c r="FD32" s="1325"/>
      <c r="FE32" s="1325"/>
      <c r="FF32" s="1325"/>
      <c r="FG32" s="1325"/>
      <c r="FH32" s="1325"/>
      <c r="FI32" s="1325"/>
      <c r="FJ32" s="1325"/>
      <c r="FK32" s="1325"/>
      <c r="FL32" s="1325"/>
      <c r="FM32" s="1325"/>
      <c r="FN32" s="1325"/>
      <c r="FO32" s="1325"/>
      <c r="FP32" s="1325"/>
      <c r="FQ32" s="1325"/>
      <c r="FR32" s="1325"/>
      <c r="FS32" s="1325"/>
      <c r="FT32" s="1325"/>
      <c r="FU32" s="1325"/>
      <c r="FV32" s="1325"/>
      <c r="FW32" s="1325"/>
      <c r="FX32" s="1325"/>
      <c r="FY32" s="1325"/>
      <c r="FZ32" s="1325"/>
      <c r="GA32" s="1325"/>
      <c r="GB32" s="1325"/>
      <c r="GC32" s="1325"/>
      <c r="GD32" s="1325"/>
      <c r="GE32" s="1325"/>
      <c r="GF32" s="1325"/>
      <c r="GG32" s="1325"/>
      <c r="GH32" s="1325"/>
      <c r="GI32" s="1325"/>
      <c r="GJ32" s="1325"/>
      <c r="GK32" s="1325"/>
      <c r="GL32" s="1325"/>
      <c r="GM32" s="1325"/>
      <c r="GN32" s="1325"/>
      <c r="GO32" s="1325"/>
      <c r="GP32" s="1325"/>
      <c r="GQ32" s="1325"/>
      <c r="GR32" s="1325"/>
      <c r="GS32" s="1325"/>
      <c r="GT32" s="1325"/>
      <c r="GU32" s="1325"/>
      <c r="GV32" s="1325"/>
      <c r="GW32" s="1325"/>
      <c r="GX32" s="1325"/>
      <c r="GY32" s="1325"/>
      <c r="GZ32" s="1325"/>
      <c r="HA32" s="1325"/>
      <c r="HB32" s="1325"/>
      <c r="HC32" s="1325"/>
      <c r="HD32" s="1325"/>
      <c r="HE32" s="1325"/>
      <c r="HF32" s="1325"/>
      <c r="HG32" s="1325"/>
      <c r="HH32" s="1325"/>
      <c r="HI32" s="1325"/>
      <c r="HJ32" s="1325"/>
      <c r="HK32" s="1325"/>
      <c r="HL32" s="1325"/>
      <c r="HM32" s="1325"/>
      <c r="HN32" s="1325"/>
      <c r="HO32" s="1325"/>
      <c r="HP32" s="1325"/>
      <c r="HQ32" s="1325"/>
      <c r="HR32" s="1325"/>
      <c r="HS32" s="1325"/>
      <c r="HT32" s="1325"/>
      <c r="HU32" s="1325"/>
      <c r="HV32" s="1325"/>
      <c r="HW32" s="1325"/>
      <c r="HX32" s="1325"/>
      <c r="HY32" s="1325"/>
      <c r="HZ32" s="1325"/>
      <c r="IA32" s="1325"/>
      <c r="IB32" s="1325"/>
      <c r="IC32" s="1325"/>
      <c r="ID32" s="1325"/>
      <c r="IE32" s="1325"/>
      <c r="IF32" s="1325"/>
      <c r="IG32" s="1325"/>
      <c r="IH32" s="1325"/>
      <c r="II32" s="1325"/>
      <c r="IJ32" s="1325"/>
      <c r="IK32" s="1325"/>
      <c r="IL32" s="1325"/>
      <c r="IM32" s="1325"/>
      <c r="IN32" s="1325"/>
      <c r="IO32" s="1325"/>
      <c r="IP32" s="1325"/>
      <c r="IQ32" s="1325"/>
      <c r="IR32" s="1325"/>
      <c r="IS32" s="1325"/>
      <c r="IT32" s="1325"/>
      <c r="IU32" s="1325"/>
      <c r="IV32" s="1325"/>
    </row>
    <row r="33" spans="1:256" ht="48" customHeight="1">
      <c r="A33" s="1368" t="s">
        <v>808</v>
      </c>
      <c r="B33" s="1369" t="s">
        <v>809</v>
      </c>
      <c r="C33" s="1372"/>
      <c r="D33" s="1372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1325"/>
      <c r="AN33" s="1325"/>
      <c r="AO33" s="1325"/>
      <c r="AP33" s="1325"/>
      <c r="AQ33" s="1325"/>
      <c r="AR33" s="1325"/>
      <c r="AS33" s="1325"/>
      <c r="AT33" s="1325"/>
      <c r="AU33" s="1325"/>
      <c r="AV33" s="1325"/>
      <c r="AW33" s="1325"/>
      <c r="AX33" s="1325"/>
      <c r="AY33" s="1325"/>
      <c r="AZ33" s="1325"/>
      <c r="BA33" s="1325"/>
      <c r="BB33" s="1325"/>
      <c r="BC33" s="1325"/>
      <c r="BD33" s="1325"/>
      <c r="BE33" s="1325"/>
      <c r="BF33" s="1325"/>
      <c r="BG33" s="1325"/>
      <c r="BH33" s="1325"/>
      <c r="BI33" s="1325"/>
      <c r="BJ33" s="1325"/>
      <c r="BK33" s="1325"/>
      <c r="BL33" s="1325"/>
      <c r="BM33" s="1325"/>
      <c r="BN33" s="1325"/>
      <c r="BO33" s="1325"/>
      <c r="BP33" s="1325"/>
      <c r="BQ33" s="1325"/>
      <c r="BR33" s="1325"/>
      <c r="BS33" s="1325"/>
      <c r="BT33" s="1325"/>
      <c r="BU33" s="1325"/>
      <c r="BV33" s="1325"/>
      <c r="BW33" s="1325"/>
      <c r="BX33" s="1325"/>
      <c r="BY33" s="1325"/>
      <c r="BZ33" s="1325"/>
      <c r="CA33" s="1325"/>
      <c r="CB33" s="1325"/>
      <c r="CC33" s="1325"/>
      <c r="CD33" s="1325"/>
      <c r="CE33" s="1325"/>
      <c r="CF33" s="1325"/>
      <c r="CG33" s="1325"/>
      <c r="CH33" s="1325"/>
      <c r="CI33" s="1325"/>
      <c r="CJ33" s="1325"/>
      <c r="CK33" s="1325"/>
      <c r="CL33" s="1325"/>
      <c r="CM33" s="1325"/>
      <c r="CN33" s="1325"/>
      <c r="CO33" s="1325"/>
      <c r="CP33" s="1325"/>
      <c r="CQ33" s="1325"/>
      <c r="CR33" s="1325"/>
      <c r="CS33" s="1325"/>
      <c r="CT33" s="1325"/>
      <c r="CU33" s="1325"/>
      <c r="CV33" s="1325"/>
      <c r="CW33" s="1325"/>
      <c r="CX33" s="1325"/>
      <c r="CY33" s="1325"/>
      <c r="CZ33" s="1325"/>
      <c r="DA33" s="1325"/>
      <c r="DB33" s="1325"/>
      <c r="DC33" s="1325"/>
      <c r="DD33" s="1325"/>
      <c r="DE33" s="1325"/>
      <c r="DF33" s="1325"/>
      <c r="DG33" s="1325"/>
      <c r="DH33" s="1325"/>
      <c r="DI33" s="1325"/>
      <c r="DJ33" s="1325"/>
      <c r="DK33" s="1325"/>
      <c r="DL33" s="1325"/>
      <c r="DM33" s="1325"/>
      <c r="DN33" s="1325"/>
      <c r="DO33" s="1325"/>
      <c r="DP33" s="1325"/>
      <c r="DQ33" s="1325"/>
      <c r="DR33" s="1325"/>
      <c r="DS33" s="1325"/>
      <c r="DT33" s="1325"/>
      <c r="DU33" s="1325"/>
      <c r="DV33" s="1325"/>
      <c r="DW33" s="1325"/>
      <c r="DX33" s="1325"/>
      <c r="DY33" s="1325"/>
      <c r="DZ33" s="1325"/>
      <c r="EA33" s="1325"/>
      <c r="EB33" s="1325"/>
      <c r="EC33" s="1325"/>
      <c r="ED33" s="1325"/>
      <c r="EE33" s="1325"/>
      <c r="EF33" s="1325"/>
      <c r="EG33" s="1325"/>
      <c r="EH33" s="1325"/>
      <c r="EI33" s="1325"/>
      <c r="EJ33" s="1325"/>
      <c r="EK33" s="1325"/>
      <c r="EL33" s="1325"/>
      <c r="EM33" s="1325"/>
      <c r="EN33" s="1325"/>
      <c r="EO33" s="1325"/>
      <c r="EP33" s="1325"/>
      <c r="EQ33" s="1325"/>
      <c r="ER33" s="1325"/>
      <c r="ES33" s="1325"/>
      <c r="ET33" s="1325"/>
      <c r="EU33" s="1325"/>
      <c r="EV33" s="1325"/>
      <c r="EW33" s="1325"/>
      <c r="EX33" s="1325"/>
      <c r="EY33" s="1325"/>
      <c r="EZ33" s="1325"/>
      <c r="FA33" s="1325"/>
      <c r="FB33" s="1325"/>
      <c r="FC33" s="1325"/>
      <c r="FD33" s="1325"/>
      <c r="FE33" s="1325"/>
      <c r="FF33" s="1325"/>
      <c r="FG33" s="1325"/>
      <c r="FH33" s="1325"/>
      <c r="FI33" s="1325"/>
      <c r="FJ33" s="1325"/>
      <c r="FK33" s="1325"/>
      <c r="FL33" s="1325"/>
      <c r="FM33" s="1325"/>
      <c r="FN33" s="1325"/>
      <c r="FO33" s="1325"/>
      <c r="FP33" s="1325"/>
      <c r="FQ33" s="1325"/>
      <c r="FR33" s="1325"/>
      <c r="FS33" s="1325"/>
      <c r="FT33" s="1325"/>
      <c r="FU33" s="1325"/>
      <c r="FV33" s="1325"/>
      <c r="FW33" s="1325"/>
      <c r="FX33" s="1325"/>
      <c r="FY33" s="1325"/>
      <c r="FZ33" s="1325"/>
      <c r="GA33" s="1325"/>
      <c r="GB33" s="1325"/>
      <c r="GC33" s="1325"/>
      <c r="GD33" s="1325"/>
      <c r="GE33" s="1325"/>
      <c r="GF33" s="1325"/>
      <c r="GG33" s="1325"/>
      <c r="GH33" s="1325"/>
      <c r="GI33" s="1325"/>
      <c r="GJ33" s="1325"/>
      <c r="GK33" s="1325"/>
      <c r="GL33" s="1325"/>
      <c r="GM33" s="1325"/>
      <c r="GN33" s="1325"/>
      <c r="GO33" s="1325"/>
      <c r="GP33" s="1325"/>
      <c r="GQ33" s="1325"/>
      <c r="GR33" s="1325"/>
      <c r="GS33" s="1325"/>
      <c r="GT33" s="1325"/>
      <c r="GU33" s="1325"/>
      <c r="GV33" s="1325"/>
      <c r="GW33" s="1325"/>
      <c r="GX33" s="1325"/>
      <c r="GY33" s="1325"/>
      <c r="GZ33" s="1325"/>
      <c r="HA33" s="1325"/>
      <c r="HB33" s="1325"/>
      <c r="HC33" s="1325"/>
      <c r="HD33" s="1325"/>
      <c r="HE33" s="1325"/>
      <c r="HF33" s="1325"/>
      <c r="HG33" s="1325"/>
      <c r="HH33" s="1325"/>
      <c r="HI33" s="1325"/>
      <c r="HJ33" s="1325"/>
      <c r="HK33" s="1325"/>
      <c r="HL33" s="1325"/>
      <c r="HM33" s="1325"/>
      <c r="HN33" s="1325"/>
      <c r="HO33" s="1325"/>
      <c r="HP33" s="1325"/>
      <c r="HQ33" s="1325"/>
      <c r="HR33" s="1325"/>
      <c r="HS33" s="1325"/>
      <c r="HT33" s="1325"/>
      <c r="HU33" s="1325"/>
      <c r="HV33" s="1325"/>
      <c r="HW33" s="1325"/>
      <c r="HX33" s="1325"/>
      <c r="HY33" s="1325"/>
      <c r="HZ33" s="1325"/>
      <c r="IA33" s="1325"/>
      <c r="IB33" s="1325"/>
      <c r="IC33" s="1325"/>
      <c r="ID33" s="1325"/>
      <c r="IE33" s="1325"/>
      <c r="IF33" s="1325"/>
      <c r="IG33" s="1325"/>
      <c r="IH33" s="1325"/>
      <c r="II33" s="1325"/>
      <c r="IJ33" s="1325"/>
      <c r="IK33" s="1325"/>
      <c r="IL33" s="1325"/>
      <c r="IM33" s="1325"/>
      <c r="IN33" s="1325"/>
      <c r="IO33" s="1325"/>
      <c r="IP33" s="1325"/>
      <c r="IQ33" s="1325"/>
      <c r="IR33" s="1325"/>
      <c r="IS33" s="1325"/>
      <c r="IT33" s="1325"/>
      <c r="IU33" s="1325"/>
      <c r="IV33" s="1325"/>
    </row>
    <row r="34" spans="1:256" ht="48" customHeight="1">
      <c r="A34" s="1365" t="s">
        <v>810</v>
      </c>
      <c r="B34" s="1366" t="s">
        <v>811</v>
      </c>
      <c r="C34" s="1367"/>
      <c r="D34" s="1367"/>
      <c r="E34" s="1325"/>
      <c r="F34" s="1325"/>
      <c r="G34" s="1325"/>
      <c r="H34" s="1325"/>
      <c r="I34" s="1325"/>
      <c r="J34" s="1325"/>
      <c r="K34" s="1325"/>
      <c r="L34" s="1325"/>
      <c r="M34" s="1325"/>
      <c r="N34" s="1325"/>
      <c r="O34" s="1325"/>
      <c r="P34" s="1325"/>
      <c r="Q34" s="1325"/>
      <c r="R34" s="1325"/>
      <c r="S34" s="1325"/>
      <c r="T34" s="1325"/>
      <c r="U34" s="1325"/>
      <c r="V34" s="1325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5"/>
      <c r="AL34" s="1325"/>
      <c r="AM34" s="1325"/>
      <c r="AN34" s="1325"/>
      <c r="AO34" s="1325"/>
      <c r="AP34" s="1325"/>
      <c r="AQ34" s="1325"/>
      <c r="AR34" s="1325"/>
      <c r="AS34" s="1325"/>
      <c r="AT34" s="1325"/>
      <c r="AU34" s="1325"/>
      <c r="AV34" s="1325"/>
      <c r="AW34" s="1325"/>
      <c r="AX34" s="1325"/>
      <c r="AY34" s="1325"/>
      <c r="AZ34" s="1325"/>
      <c r="BA34" s="1325"/>
      <c r="BB34" s="1325"/>
      <c r="BC34" s="1325"/>
      <c r="BD34" s="1325"/>
      <c r="BE34" s="1325"/>
      <c r="BF34" s="1325"/>
      <c r="BG34" s="1325"/>
      <c r="BH34" s="1325"/>
      <c r="BI34" s="1325"/>
      <c r="BJ34" s="1325"/>
      <c r="BK34" s="1325"/>
      <c r="BL34" s="1325"/>
      <c r="BM34" s="1325"/>
      <c r="BN34" s="1325"/>
      <c r="BO34" s="1325"/>
      <c r="BP34" s="1325"/>
      <c r="BQ34" s="1325"/>
      <c r="BR34" s="1325"/>
      <c r="BS34" s="1325"/>
      <c r="BT34" s="1325"/>
      <c r="BU34" s="1325"/>
      <c r="BV34" s="1325"/>
      <c r="BW34" s="1325"/>
      <c r="BX34" s="1325"/>
      <c r="BY34" s="1325"/>
      <c r="BZ34" s="1325"/>
      <c r="CA34" s="1325"/>
      <c r="CB34" s="1325"/>
      <c r="CC34" s="1325"/>
      <c r="CD34" s="1325"/>
      <c r="CE34" s="1325"/>
      <c r="CF34" s="1325"/>
      <c r="CG34" s="1325"/>
      <c r="CH34" s="1325"/>
      <c r="CI34" s="1325"/>
      <c r="CJ34" s="1325"/>
      <c r="CK34" s="1325"/>
      <c r="CL34" s="1325"/>
      <c r="CM34" s="1325"/>
      <c r="CN34" s="1325"/>
      <c r="CO34" s="1325"/>
      <c r="CP34" s="1325"/>
      <c r="CQ34" s="1325"/>
      <c r="CR34" s="1325"/>
      <c r="CS34" s="1325"/>
      <c r="CT34" s="1325"/>
      <c r="CU34" s="1325"/>
      <c r="CV34" s="1325"/>
      <c r="CW34" s="1325"/>
      <c r="CX34" s="1325"/>
      <c r="CY34" s="1325"/>
      <c r="CZ34" s="1325"/>
      <c r="DA34" s="1325"/>
      <c r="DB34" s="1325"/>
      <c r="DC34" s="1325"/>
      <c r="DD34" s="1325"/>
      <c r="DE34" s="1325"/>
      <c r="DF34" s="1325"/>
      <c r="DG34" s="1325"/>
      <c r="DH34" s="1325"/>
      <c r="DI34" s="1325"/>
      <c r="DJ34" s="1325"/>
      <c r="DK34" s="1325"/>
      <c r="DL34" s="1325"/>
      <c r="DM34" s="1325"/>
      <c r="DN34" s="1325"/>
      <c r="DO34" s="1325"/>
      <c r="DP34" s="1325"/>
      <c r="DQ34" s="1325"/>
      <c r="DR34" s="1325"/>
      <c r="DS34" s="1325"/>
      <c r="DT34" s="1325"/>
      <c r="DU34" s="1325"/>
      <c r="DV34" s="1325"/>
      <c r="DW34" s="1325"/>
      <c r="DX34" s="1325"/>
      <c r="DY34" s="1325"/>
      <c r="DZ34" s="1325"/>
      <c r="EA34" s="1325"/>
      <c r="EB34" s="1325"/>
      <c r="EC34" s="1325"/>
      <c r="ED34" s="1325"/>
      <c r="EE34" s="1325"/>
      <c r="EF34" s="1325"/>
      <c r="EG34" s="1325"/>
      <c r="EH34" s="1325"/>
      <c r="EI34" s="1325"/>
      <c r="EJ34" s="1325"/>
      <c r="EK34" s="1325"/>
      <c r="EL34" s="1325"/>
      <c r="EM34" s="1325"/>
      <c r="EN34" s="1325"/>
      <c r="EO34" s="1325"/>
      <c r="EP34" s="1325"/>
      <c r="EQ34" s="1325"/>
      <c r="ER34" s="1325"/>
      <c r="ES34" s="1325"/>
      <c r="ET34" s="1325"/>
      <c r="EU34" s="1325"/>
      <c r="EV34" s="1325"/>
      <c r="EW34" s="1325"/>
      <c r="EX34" s="1325"/>
      <c r="EY34" s="1325"/>
      <c r="EZ34" s="1325"/>
      <c r="FA34" s="1325"/>
      <c r="FB34" s="1325"/>
      <c r="FC34" s="1325"/>
      <c r="FD34" s="1325"/>
      <c r="FE34" s="1325"/>
      <c r="FF34" s="1325"/>
      <c r="FG34" s="1325"/>
      <c r="FH34" s="1325"/>
      <c r="FI34" s="1325"/>
      <c r="FJ34" s="1325"/>
      <c r="FK34" s="1325"/>
      <c r="FL34" s="1325"/>
      <c r="FM34" s="1325"/>
      <c r="FN34" s="1325"/>
      <c r="FO34" s="1325"/>
      <c r="FP34" s="1325"/>
      <c r="FQ34" s="1325"/>
      <c r="FR34" s="1325"/>
      <c r="FS34" s="1325"/>
      <c r="FT34" s="1325"/>
      <c r="FU34" s="1325"/>
      <c r="FV34" s="1325"/>
      <c r="FW34" s="1325"/>
      <c r="FX34" s="1325"/>
      <c r="FY34" s="1325"/>
      <c r="FZ34" s="1325"/>
      <c r="GA34" s="1325"/>
      <c r="GB34" s="1325"/>
      <c r="GC34" s="1325"/>
      <c r="GD34" s="1325"/>
      <c r="GE34" s="1325"/>
      <c r="GF34" s="1325"/>
      <c r="GG34" s="1325"/>
      <c r="GH34" s="1325"/>
      <c r="GI34" s="1325"/>
      <c r="GJ34" s="1325"/>
      <c r="GK34" s="1325"/>
      <c r="GL34" s="1325"/>
      <c r="GM34" s="1325"/>
      <c r="GN34" s="1325"/>
      <c r="GO34" s="1325"/>
      <c r="GP34" s="1325"/>
      <c r="GQ34" s="1325"/>
      <c r="GR34" s="1325"/>
      <c r="GS34" s="1325"/>
      <c r="GT34" s="1325"/>
      <c r="GU34" s="1325"/>
      <c r="GV34" s="1325"/>
      <c r="GW34" s="1325"/>
      <c r="GX34" s="1325"/>
      <c r="GY34" s="1325"/>
      <c r="GZ34" s="1325"/>
      <c r="HA34" s="1325"/>
      <c r="HB34" s="1325"/>
      <c r="HC34" s="1325"/>
      <c r="HD34" s="1325"/>
      <c r="HE34" s="1325"/>
      <c r="HF34" s="1325"/>
      <c r="HG34" s="1325"/>
      <c r="HH34" s="1325"/>
      <c r="HI34" s="1325"/>
      <c r="HJ34" s="1325"/>
      <c r="HK34" s="1325"/>
      <c r="HL34" s="1325"/>
      <c r="HM34" s="1325"/>
      <c r="HN34" s="1325"/>
      <c r="HO34" s="1325"/>
      <c r="HP34" s="1325"/>
      <c r="HQ34" s="1325"/>
      <c r="HR34" s="1325"/>
      <c r="HS34" s="1325"/>
      <c r="HT34" s="1325"/>
      <c r="HU34" s="1325"/>
      <c r="HV34" s="1325"/>
      <c r="HW34" s="1325"/>
      <c r="HX34" s="1325"/>
      <c r="HY34" s="1325"/>
      <c r="HZ34" s="1325"/>
      <c r="IA34" s="1325"/>
      <c r="IB34" s="1325"/>
      <c r="IC34" s="1325"/>
      <c r="ID34" s="1325"/>
      <c r="IE34" s="1325"/>
      <c r="IF34" s="1325"/>
      <c r="IG34" s="1325"/>
      <c r="IH34" s="1325"/>
      <c r="II34" s="1325"/>
      <c r="IJ34" s="1325"/>
      <c r="IK34" s="1325"/>
      <c r="IL34" s="1325"/>
      <c r="IM34" s="1325"/>
      <c r="IN34" s="1325"/>
      <c r="IO34" s="1325"/>
      <c r="IP34" s="1325"/>
      <c r="IQ34" s="1325"/>
      <c r="IR34" s="1325"/>
      <c r="IS34" s="1325"/>
      <c r="IT34" s="1325"/>
      <c r="IU34" s="1325"/>
      <c r="IV34" s="1325"/>
    </row>
    <row r="35" spans="1:256" ht="48" customHeight="1">
      <c r="A35" s="1365" t="s">
        <v>812</v>
      </c>
      <c r="B35" s="1366" t="s">
        <v>813</v>
      </c>
      <c r="C35" s="1367"/>
      <c r="D35" s="1367"/>
      <c r="E35" s="1325"/>
      <c r="F35" s="1325"/>
      <c r="G35" s="1325"/>
      <c r="H35" s="1325"/>
      <c r="I35" s="1325"/>
      <c r="J35" s="1325"/>
      <c r="K35" s="1325"/>
      <c r="L35" s="1325"/>
      <c r="M35" s="1325"/>
      <c r="N35" s="1325"/>
      <c r="O35" s="1325"/>
      <c r="P35" s="1325"/>
      <c r="Q35" s="1325"/>
      <c r="R35" s="1325"/>
      <c r="S35" s="1325"/>
      <c r="T35" s="1325"/>
      <c r="U35" s="1325"/>
      <c r="V35" s="1325"/>
      <c r="W35" s="1325"/>
      <c r="X35" s="1325"/>
      <c r="Y35" s="1325"/>
      <c r="Z35" s="1325"/>
      <c r="AA35" s="1325"/>
      <c r="AB35" s="1325"/>
      <c r="AC35" s="1325"/>
      <c r="AD35" s="1325"/>
      <c r="AE35" s="1325"/>
      <c r="AF35" s="1325"/>
      <c r="AG35" s="1325"/>
      <c r="AH35" s="1325"/>
      <c r="AI35" s="1325"/>
      <c r="AJ35" s="1325"/>
      <c r="AK35" s="1325"/>
      <c r="AL35" s="1325"/>
      <c r="AM35" s="1325"/>
      <c r="AN35" s="1325"/>
      <c r="AO35" s="1325"/>
      <c r="AP35" s="1325"/>
      <c r="AQ35" s="1325"/>
      <c r="AR35" s="1325"/>
      <c r="AS35" s="1325"/>
      <c r="AT35" s="1325"/>
      <c r="AU35" s="1325"/>
      <c r="AV35" s="1325"/>
      <c r="AW35" s="1325"/>
      <c r="AX35" s="1325"/>
      <c r="AY35" s="1325"/>
      <c r="AZ35" s="1325"/>
      <c r="BA35" s="1325"/>
      <c r="BB35" s="1325"/>
      <c r="BC35" s="1325"/>
      <c r="BD35" s="1325"/>
      <c r="BE35" s="1325"/>
      <c r="BF35" s="1325"/>
      <c r="BG35" s="1325"/>
      <c r="BH35" s="1325"/>
      <c r="BI35" s="1325"/>
      <c r="BJ35" s="1325"/>
      <c r="BK35" s="1325"/>
      <c r="BL35" s="1325"/>
      <c r="BM35" s="1325"/>
      <c r="BN35" s="1325"/>
      <c r="BO35" s="1325"/>
      <c r="BP35" s="1325"/>
      <c r="BQ35" s="1325"/>
      <c r="BR35" s="1325"/>
      <c r="BS35" s="1325"/>
      <c r="BT35" s="1325"/>
      <c r="BU35" s="1325"/>
      <c r="BV35" s="1325"/>
      <c r="BW35" s="1325"/>
      <c r="BX35" s="1325"/>
      <c r="BY35" s="1325"/>
      <c r="BZ35" s="1325"/>
      <c r="CA35" s="1325"/>
      <c r="CB35" s="1325"/>
      <c r="CC35" s="1325"/>
      <c r="CD35" s="1325"/>
      <c r="CE35" s="1325"/>
      <c r="CF35" s="1325"/>
      <c r="CG35" s="1325"/>
      <c r="CH35" s="1325"/>
      <c r="CI35" s="1325"/>
      <c r="CJ35" s="1325"/>
      <c r="CK35" s="1325"/>
      <c r="CL35" s="1325"/>
      <c r="CM35" s="1325"/>
      <c r="CN35" s="1325"/>
      <c r="CO35" s="1325"/>
      <c r="CP35" s="1325"/>
      <c r="CQ35" s="1325"/>
      <c r="CR35" s="1325"/>
      <c r="CS35" s="1325"/>
      <c r="CT35" s="1325"/>
      <c r="CU35" s="1325"/>
      <c r="CV35" s="1325"/>
      <c r="CW35" s="1325"/>
      <c r="CX35" s="1325"/>
      <c r="CY35" s="1325"/>
      <c r="CZ35" s="1325"/>
      <c r="DA35" s="1325"/>
      <c r="DB35" s="1325"/>
      <c r="DC35" s="1325"/>
      <c r="DD35" s="1325"/>
      <c r="DE35" s="1325"/>
      <c r="DF35" s="1325"/>
      <c r="DG35" s="1325"/>
      <c r="DH35" s="1325"/>
      <c r="DI35" s="1325"/>
      <c r="DJ35" s="1325"/>
      <c r="DK35" s="1325"/>
      <c r="DL35" s="1325"/>
      <c r="DM35" s="1325"/>
      <c r="DN35" s="1325"/>
      <c r="DO35" s="1325"/>
      <c r="DP35" s="1325"/>
      <c r="DQ35" s="1325"/>
      <c r="DR35" s="1325"/>
      <c r="DS35" s="1325"/>
      <c r="DT35" s="1325"/>
      <c r="DU35" s="1325"/>
      <c r="DV35" s="1325"/>
      <c r="DW35" s="1325"/>
      <c r="DX35" s="1325"/>
      <c r="DY35" s="1325"/>
      <c r="DZ35" s="1325"/>
      <c r="EA35" s="1325"/>
      <c r="EB35" s="1325"/>
      <c r="EC35" s="1325"/>
      <c r="ED35" s="1325"/>
      <c r="EE35" s="1325"/>
      <c r="EF35" s="1325"/>
      <c r="EG35" s="1325"/>
      <c r="EH35" s="1325"/>
      <c r="EI35" s="1325"/>
      <c r="EJ35" s="1325"/>
      <c r="EK35" s="1325"/>
      <c r="EL35" s="1325"/>
      <c r="EM35" s="1325"/>
      <c r="EN35" s="1325"/>
      <c r="EO35" s="1325"/>
      <c r="EP35" s="1325"/>
      <c r="EQ35" s="1325"/>
      <c r="ER35" s="1325"/>
      <c r="ES35" s="1325"/>
      <c r="ET35" s="1325"/>
      <c r="EU35" s="1325"/>
      <c r="EV35" s="1325"/>
      <c r="EW35" s="1325"/>
      <c r="EX35" s="1325"/>
      <c r="EY35" s="1325"/>
      <c r="EZ35" s="1325"/>
      <c r="FA35" s="1325"/>
      <c r="FB35" s="1325"/>
      <c r="FC35" s="1325"/>
      <c r="FD35" s="1325"/>
      <c r="FE35" s="1325"/>
      <c r="FF35" s="1325"/>
      <c r="FG35" s="1325"/>
      <c r="FH35" s="1325"/>
      <c r="FI35" s="1325"/>
      <c r="FJ35" s="1325"/>
      <c r="FK35" s="1325"/>
      <c r="FL35" s="1325"/>
      <c r="FM35" s="1325"/>
      <c r="FN35" s="1325"/>
      <c r="FO35" s="1325"/>
      <c r="FP35" s="1325"/>
      <c r="FQ35" s="1325"/>
      <c r="FR35" s="1325"/>
      <c r="FS35" s="1325"/>
      <c r="FT35" s="1325"/>
      <c r="FU35" s="1325"/>
      <c r="FV35" s="1325"/>
      <c r="FW35" s="1325"/>
      <c r="FX35" s="1325"/>
      <c r="FY35" s="1325"/>
      <c r="FZ35" s="1325"/>
      <c r="GA35" s="1325"/>
      <c r="GB35" s="1325"/>
      <c r="GC35" s="1325"/>
      <c r="GD35" s="1325"/>
      <c r="GE35" s="1325"/>
      <c r="GF35" s="1325"/>
      <c r="GG35" s="1325"/>
      <c r="GH35" s="1325"/>
      <c r="GI35" s="1325"/>
      <c r="GJ35" s="1325"/>
      <c r="GK35" s="1325"/>
      <c r="GL35" s="1325"/>
      <c r="GM35" s="1325"/>
      <c r="GN35" s="1325"/>
      <c r="GO35" s="1325"/>
      <c r="GP35" s="1325"/>
      <c r="GQ35" s="1325"/>
      <c r="GR35" s="1325"/>
      <c r="GS35" s="1325"/>
      <c r="GT35" s="1325"/>
      <c r="GU35" s="1325"/>
      <c r="GV35" s="1325"/>
      <c r="GW35" s="1325"/>
      <c r="GX35" s="1325"/>
      <c r="GY35" s="1325"/>
      <c r="GZ35" s="1325"/>
      <c r="HA35" s="1325"/>
      <c r="HB35" s="1325"/>
      <c r="HC35" s="1325"/>
      <c r="HD35" s="1325"/>
      <c r="HE35" s="1325"/>
      <c r="HF35" s="1325"/>
      <c r="HG35" s="1325"/>
      <c r="HH35" s="1325"/>
      <c r="HI35" s="1325"/>
      <c r="HJ35" s="1325"/>
      <c r="HK35" s="1325"/>
      <c r="HL35" s="1325"/>
      <c r="HM35" s="1325"/>
      <c r="HN35" s="1325"/>
      <c r="HO35" s="1325"/>
      <c r="HP35" s="1325"/>
      <c r="HQ35" s="1325"/>
      <c r="HR35" s="1325"/>
      <c r="HS35" s="1325"/>
      <c r="HT35" s="1325"/>
      <c r="HU35" s="1325"/>
      <c r="HV35" s="1325"/>
      <c r="HW35" s="1325"/>
      <c r="HX35" s="1325"/>
      <c r="HY35" s="1325"/>
      <c r="HZ35" s="1325"/>
      <c r="IA35" s="1325"/>
      <c r="IB35" s="1325"/>
      <c r="IC35" s="1325"/>
      <c r="ID35" s="1325"/>
      <c r="IE35" s="1325"/>
      <c r="IF35" s="1325"/>
      <c r="IG35" s="1325"/>
      <c r="IH35" s="1325"/>
      <c r="II35" s="1325"/>
      <c r="IJ35" s="1325"/>
      <c r="IK35" s="1325"/>
      <c r="IL35" s="1325"/>
      <c r="IM35" s="1325"/>
      <c r="IN35" s="1325"/>
      <c r="IO35" s="1325"/>
      <c r="IP35" s="1325"/>
      <c r="IQ35" s="1325"/>
      <c r="IR35" s="1325"/>
      <c r="IS35" s="1325"/>
      <c r="IT35" s="1325"/>
      <c r="IU35" s="1325"/>
      <c r="IV35" s="1325"/>
    </row>
    <row r="36" spans="1:256" ht="48" customHeight="1">
      <c r="A36" s="1365" t="s">
        <v>814</v>
      </c>
      <c r="B36" s="1366" t="s">
        <v>815</v>
      </c>
      <c r="C36" s="1367"/>
      <c r="D36" s="1367"/>
      <c r="E36" s="1325"/>
      <c r="F36" s="1325"/>
      <c r="G36" s="1325"/>
      <c r="H36" s="1325"/>
      <c r="I36" s="1325"/>
      <c r="J36" s="1325"/>
      <c r="K36" s="1325"/>
      <c r="L36" s="1325"/>
      <c r="M36" s="1325"/>
      <c r="N36" s="1325"/>
      <c r="O36" s="1325"/>
      <c r="P36" s="1325"/>
      <c r="Q36" s="1325"/>
      <c r="R36" s="1325"/>
      <c r="S36" s="1325"/>
      <c r="T36" s="1325"/>
      <c r="U36" s="1325"/>
      <c r="V36" s="1325"/>
      <c r="W36" s="1325"/>
      <c r="X36" s="1325"/>
      <c r="Y36" s="1325"/>
      <c r="Z36" s="1325"/>
      <c r="AA36" s="1325"/>
      <c r="AB36" s="1325"/>
      <c r="AC36" s="1325"/>
      <c r="AD36" s="1325"/>
      <c r="AE36" s="1325"/>
      <c r="AF36" s="1325"/>
      <c r="AG36" s="1325"/>
      <c r="AH36" s="1325"/>
      <c r="AI36" s="1325"/>
      <c r="AJ36" s="1325"/>
      <c r="AK36" s="1325"/>
      <c r="AL36" s="1325"/>
      <c r="AM36" s="1325"/>
      <c r="AN36" s="1325"/>
      <c r="AO36" s="1325"/>
      <c r="AP36" s="1325"/>
      <c r="AQ36" s="1325"/>
      <c r="AR36" s="1325"/>
      <c r="AS36" s="1325"/>
      <c r="AT36" s="1325"/>
      <c r="AU36" s="1325"/>
      <c r="AV36" s="1325"/>
      <c r="AW36" s="1325"/>
      <c r="AX36" s="1325"/>
      <c r="AY36" s="1325"/>
      <c r="AZ36" s="1325"/>
      <c r="BA36" s="1325"/>
      <c r="BB36" s="1325"/>
      <c r="BC36" s="1325"/>
      <c r="BD36" s="1325"/>
      <c r="BE36" s="1325"/>
      <c r="BF36" s="1325"/>
      <c r="BG36" s="1325"/>
      <c r="BH36" s="1325"/>
      <c r="BI36" s="1325"/>
      <c r="BJ36" s="1325"/>
      <c r="BK36" s="1325"/>
      <c r="BL36" s="1325"/>
      <c r="BM36" s="1325"/>
      <c r="BN36" s="1325"/>
      <c r="BO36" s="1325"/>
      <c r="BP36" s="1325"/>
      <c r="BQ36" s="1325"/>
      <c r="BR36" s="1325"/>
      <c r="BS36" s="1325"/>
      <c r="BT36" s="1325"/>
      <c r="BU36" s="1325"/>
      <c r="BV36" s="1325"/>
      <c r="BW36" s="1325"/>
      <c r="BX36" s="1325"/>
      <c r="BY36" s="1325"/>
      <c r="BZ36" s="1325"/>
      <c r="CA36" s="1325"/>
      <c r="CB36" s="1325"/>
      <c r="CC36" s="1325"/>
      <c r="CD36" s="1325"/>
      <c r="CE36" s="1325"/>
      <c r="CF36" s="1325"/>
      <c r="CG36" s="1325"/>
      <c r="CH36" s="1325"/>
      <c r="CI36" s="1325"/>
      <c r="CJ36" s="1325"/>
      <c r="CK36" s="1325"/>
      <c r="CL36" s="1325"/>
      <c r="CM36" s="1325"/>
      <c r="CN36" s="1325"/>
      <c r="CO36" s="1325"/>
      <c r="CP36" s="1325"/>
      <c r="CQ36" s="1325"/>
      <c r="CR36" s="1325"/>
      <c r="CS36" s="1325"/>
      <c r="CT36" s="1325"/>
      <c r="CU36" s="1325"/>
      <c r="CV36" s="1325"/>
      <c r="CW36" s="1325"/>
      <c r="CX36" s="1325"/>
      <c r="CY36" s="1325"/>
      <c r="CZ36" s="1325"/>
      <c r="DA36" s="1325"/>
      <c r="DB36" s="1325"/>
      <c r="DC36" s="1325"/>
      <c r="DD36" s="1325"/>
      <c r="DE36" s="1325"/>
      <c r="DF36" s="1325"/>
      <c r="DG36" s="1325"/>
      <c r="DH36" s="1325"/>
      <c r="DI36" s="1325"/>
      <c r="DJ36" s="1325"/>
      <c r="DK36" s="1325"/>
      <c r="DL36" s="1325"/>
      <c r="DM36" s="1325"/>
      <c r="DN36" s="1325"/>
      <c r="DO36" s="1325"/>
      <c r="DP36" s="1325"/>
      <c r="DQ36" s="1325"/>
      <c r="DR36" s="1325"/>
      <c r="DS36" s="1325"/>
      <c r="DT36" s="1325"/>
      <c r="DU36" s="1325"/>
      <c r="DV36" s="1325"/>
      <c r="DW36" s="1325"/>
      <c r="DX36" s="1325"/>
      <c r="DY36" s="1325"/>
      <c r="DZ36" s="1325"/>
      <c r="EA36" s="1325"/>
      <c r="EB36" s="1325"/>
      <c r="EC36" s="1325"/>
      <c r="ED36" s="1325"/>
      <c r="EE36" s="1325"/>
      <c r="EF36" s="1325"/>
      <c r="EG36" s="1325"/>
      <c r="EH36" s="1325"/>
      <c r="EI36" s="1325"/>
      <c r="EJ36" s="1325"/>
      <c r="EK36" s="1325"/>
      <c r="EL36" s="1325"/>
      <c r="EM36" s="1325"/>
      <c r="EN36" s="1325"/>
      <c r="EO36" s="1325"/>
      <c r="EP36" s="1325"/>
      <c r="EQ36" s="1325"/>
      <c r="ER36" s="1325"/>
      <c r="ES36" s="1325"/>
      <c r="ET36" s="1325"/>
      <c r="EU36" s="1325"/>
      <c r="EV36" s="1325"/>
      <c r="EW36" s="1325"/>
      <c r="EX36" s="1325"/>
      <c r="EY36" s="1325"/>
      <c r="EZ36" s="1325"/>
      <c r="FA36" s="1325"/>
      <c r="FB36" s="1325"/>
      <c r="FC36" s="1325"/>
      <c r="FD36" s="1325"/>
      <c r="FE36" s="1325"/>
      <c r="FF36" s="1325"/>
      <c r="FG36" s="1325"/>
      <c r="FH36" s="1325"/>
      <c r="FI36" s="1325"/>
      <c r="FJ36" s="1325"/>
      <c r="FK36" s="1325"/>
      <c r="FL36" s="1325"/>
      <c r="FM36" s="1325"/>
      <c r="FN36" s="1325"/>
      <c r="FO36" s="1325"/>
      <c r="FP36" s="1325"/>
      <c r="FQ36" s="1325"/>
      <c r="FR36" s="1325"/>
      <c r="FS36" s="1325"/>
      <c r="FT36" s="1325"/>
      <c r="FU36" s="1325"/>
      <c r="FV36" s="1325"/>
      <c r="FW36" s="1325"/>
      <c r="FX36" s="1325"/>
      <c r="FY36" s="1325"/>
      <c r="FZ36" s="1325"/>
      <c r="GA36" s="1325"/>
      <c r="GB36" s="1325"/>
      <c r="GC36" s="1325"/>
      <c r="GD36" s="1325"/>
      <c r="GE36" s="1325"/>
      <c r="GF36" s="1325"/>
      <c r="GG36" s="1325"/>
      <c r="GH36" s="1325"/>
      <c r="GI36" s="1325"/>
      <c r="GJ36" s="1325"/>
      <c r="GK36" s="1325"/>
      <c r="GL36" s="1325"/>
      <c r="GM36" s="1325"/>
      <c r="GN36" s="1325"/>
      <c r="GO36" s="1325"/>
      <c r="GP36" s="1325"/>
      <c r="GQ36" s="1325"/>
      <c r="GR36" s="1325"/>
      <c r="GS36" s="1325"/>
      <c r="GT36" s="1325"/>
      <c r="GU36" s="1325"/>
      <c r="GV36" s="1325"/>
      <c r="GW36" s="1325"/>
      <c r="GX36" s="1325"/>
      <c r="GY36" s="1325"/>
      <c r="GZ36" s="1325"/>
      <c r="HA36" s="1325"/>
      <c r="HB36" s="1325"/>
      <c r="HC36" s="1325"/>
      <c r="HD36" s="1325"/>
      <c r="HE36" s="1325"/>
      <c r="HF36" s="1325"/>
      <c r="HG36" s="1325"/>
      <c r="HH36" s="1325"/>
      <c r="HI36" s="1325"/>
      <c r="HJ36" s="1325"/>
      <c r="HK36" s="1325"/>
      <c r="HL36" s="1325"/>
      <c r="HM36" s="1325"/>
      <c r="HN36" s="1325"/>
      <c r="HO36" s="1325"/>
      <c r="HP36" s="1325"/>
      <c r="HQ36" s="1325"/>
      <c r="HR36" s="1325"/>
      <c r="HS36" s="1325"/>
      <c r="HT36" s="1325"/>
      <c r="HU36" s="1325"/>
      <c r="HV36" s="1325"/>
      <c r="HW36" s="1325"/>
      <c r="HX36" s="1325"/>
      <c r="HY36" s="1325"/>
      <c r="HZ36" s="1325"/>
      <c r="IA36" s="1325"/>
      <c r="IB36" s="1325"/>
      <c r="IC36" s="1325"/>
      <c r="ID36" s="1325"/>
      <c r="IE36" s="1325"/>
      <c r="IF36" s="1325"/>
      <c r="IG36" s="1325"/>
      <c r="IH36" s="1325"/>
      <c r="II36" s="1325"/>
      <c r="IJ36" s="1325"/>
      <c r="IK36" s="1325"/>
      <c r="IL36" s="1325"/>
      <c r="IM36" s="1325"/>
      <c r="IN36" s="1325"/>
      <c r="IO36" s="1325"/>
      <c r="IP36" s="1325"/>
      <c r="IQ36" s="1325"/>
      <c r="IR36" s="1325"/>
      <c r="IS36" s="1325"/>
      <c r="IT36" s="1325"/>
      <c r="IU36" s="1325"/>
      <c r="IV36" s="1325"/>
    </row>
    <row r="37" spans="1:256" ht="48" customHeight="1">
      <c r="A37" s="1365" t="s">
        <v>816</v>
      </c>
      <c r="B37" s="1366" t="s">
        <v>817</v>
      </c>
      <c r="C37" s="1367"/>
      <c r="D37" s="1367"/>
      <c r="E37" s="1325"/>
      <c r="F37" s="1325"/>
      <c r="G37" s="1325"/>
      <c r="H37" s="1325"/>
      <c r="I37" s="1325"/>
      <c r="J37" s="1325"/>
      <c r="K37" s="1325"/>
      <c r="L37" s="1325"/>
      <c r="M37" s="1325"/>
      <c r="N37" s="1325"/>
      <c r="O37" s="1325"/>
      <c r="P37" s="1325"/>
      <c r="Q37" s="1325"/>
      <c r="R37" s="1325"/>
      <c r="S37" s="1325"/>
      <c r="T37" s="1325"/>
      <c r="U37" s="1325"/>
      <c r="V37" s="1325"/>
      <c r="W37" s="1325"/>
      <c r="X37" s="1325"/>
      <c r="Y37" s="1325"/>
      <c r="Z37" s="1325"/>
      <c r="AA37" s="1325"/>
      <c r="AB37" s="1325"/>
      <c r="AC37" s="1325"/>
      <c r="AD37" s="1325"/>
      <c r="AE37" s="1325"/>
      <c r="AF37" s="1325"/>
      <c r="AG37" s="1325"/>
      <c r="AH37" s="1325"/>
      <c r="AI37" s="1325"/>
      <c r="AJ37" s="1325"/>
      <c r="AK37" s="1325"/>
      <c r="AL37" s="1325"/>
      <c r="AM37" s="1325"/>
      <c r="AN37" s="1325"/>
      <c r="AO37" s="1325"/>
      <c r="AP37" s="1325"/>
      <c r="AQ37" s="1325"/>
      <c r="AR37" s="1325"/>
      <c r="AS37" s="1325"/>
      <c r="AT37" s="1325"/>
      <c r="AU37" s="1325"/>
      <c r="AV37" s="1325"/>
      <c r="AW37" s="1325"/>
      <c r="AX37" s="1325"/>
      <c r="AY37" s="1325"/>
      <c r="AZ37" s="1325"/>
      <c r="BA37" s="1325"/>
      <c r="BB37" s="1325"/>
      <c r="BC37" s="1325"/>
      <c r="BD37" s="1325"/>
      <c r="BE37" s="1325"/>
      <c r="BF37" s="1325"/>
      <c r="BG37" s="1325"/>
      <c r="BH37" s="1325"/>
      <c r="BI37" s="1325"/>
      <c r="BJ37" s="1325"/>
      <c r="BK37" s="1325"/>
      <c r="BL37" s="1325"/>
      <c r="BM37" s="1325"/>
      <c r="BN37" s="1325"/>
      <c r="BO37" s="1325"/>
      <c r="BP37" s="1325"/>
      <c r="BQ37" s="1325"/>
      <c r="BR37" s="1325"/>
      <c r="BS37" s="1325"/>
      <c r="BT37" s="1325"/>
      <c r="BU37" s="1325"/>
      <c r="BV37" s="1325"/>
      <c r="BW37" s="1325"/>
      <c r="BX37" s="1325"/>
      <c r="BY37" s="1325"/>
      <c r="BZ37" s="1325"/>
      <c r="CA37" s="1325"/>
      <c r="CB37" s="1325"/>
      <c r="CC37" s="1325"/>
      <c r="CD37" s="1325"/>
      <c r="CE37" s="1325"/>
      <c r="CF37" s="1325"/>
      <c r="CG37" s="1325"/>
      <c r="CH37" s="1325"/>
      <c r="CI37" s="1325"/>
      <c r="CJ37" s="1325"/>
      <c r="CK37" s="1325"/>
      <c r="CL37" s="1325"/>
      <c r="CM37" s="1325"/>
      <c r="CN37" s="1325"/>
      <c r="CO37" s="1325"/>
      <c r="CP37" s="1325"/>
      <c r="CQ37" s="1325"/>
      <c r="CR37" s="1325"/>
      <c r="CS37" s="1325"/>
      <c r="CT37" s="1325"/>
      <c r="CU37" s="1325"/>
      <c r="CV37" s="1325"/>
      <c r="CW37" s="1325"/>
      <c r="CX37" s="1325"/>
      <c r="CY37" s="1325"/>
      <c r="CZ37" s="1325"/>
      <c r="DA37" s="1325"/>
      <c r="DB37" s="1325"/>
      <c r="DC37" s="1325"/>
      <c r="DD37" s="1325"/>
      <c r="DE37" s="1325"/>
      <c r="DF37" s="1325"/>
      <c r="DG37" s="1325"/>
      <c r="DH37" s="1325"/>
      <c r="DI37" s="1325"/>
      <c r="DJ37" s="1325"/>
      <c r="DK37" s="1325"/>
      <c r="DL37" s="1325"/>
      <c r="DM37" s="1325"/>
      <c r="DN37" s="1325"/>
      <c r="DO37" s="1325"/>
      <c r="DP37" s="1325"/>
      <c r="DQ37" s="1325"/>
      <c r="DR37" s="1325"/>
      <c r="DS37" s="1325"/>
      <c r="DT37" s="1325"/>
      <c r="DU37" s="1325"/>
      <c r="DV37" s="1325"/>
      <c r="DW37" s="1325"/>
      <c r="DX37" s="1325"/>
      <c r="DY37" s="1325"/>
      <c r="DZ37" s="1325"/>
      <c r="EA37" s="1325"/>
      <c r="EB37" s="1325"/>
      <c r="EC37" s="1325"/>
      <c r="ED37" s="1325"/>
      <c r="EE37" s="1325"/>
      <c r="EF37" s="1325"/>
      <c r="EG37" s="1325"/>
      <c r="EH37" s="1325"/>
      <c r="EI37" s="1325"/>
      <c r="EJ37" s="1325"/>
      <c r="EK37" s="1325"/>
      <c r="EL37" s="1325"/>
      <c r="EM37" s="1325"/>
      <c r="EN37" s="1325"/>
      <c r="EO37" s="1325"/>
      <c r="EP37" s="1325"/>
      <c r="EQ37" s="1325"/>
      <c r="ER37" s="1325"/>
      <c r="ES37" s="1325"/>
      <c r="ET37" s="1325"/>
      <c r="EU37" s="1325"/>
      <c r="EV37" s="1325"/>
      <c r="EW37" s="1325"/>
      <c r="EX37" s="1325"/>
      <c r="EY37" s="1325"/>
      <c r="EZ37" s="1325"/>
      <c r="FA37" s="1325"/>
      <c r="FB37" s="1325"/>
      <c r="FC37" s="1325"/>
      <c r="FD37" s="1325"/>
      <c r="FE37" s="1325"/>
      <c r="FF37" s="1325"/>
      <c r="FG37" s="1325"/>
      <c r="FH37" s="1325"/>
      <c r="FI37" s="1325"/>
      <c r="FJ37" s="1325"/>
      <c r="FK37" s="1325"/>
      <c r="FL37" s="1325"/>
      <c r="FM37" s="1325"/>
      <c r="FN37" s="1325"/>
      <c r="FO37" s="1325"/>
      <c r="FP37" s="1325"/>
      <c r="FQ37" s="1325"/>
      <c r="FR37" s="1325"/>
      <c r="FS37" s="1325"/>
      <c r="FT37" s="1325"/>
      <c r="FU37" s="1325"/>
      <c r="FV37" s="1325"/>
      <c r="FW37" s="1325"/>
      <c r="FX37" s="1325"/>
      <c r="FY37" s="1325"/>
      <c r="FZ37" s="1325"/>
      <c r="GA37" s="1325"/>
      <c r="GB37" s="1325"/>
      <c r="GC37" s="1325"/>
      <c r="GD37" s="1325"/>
      <c r="GE37" s="1325"/>
      <c r="GF37" s="1325"/>
      <c r="GG37" s="1325"/>
      <c r="GH37" s="1325"/>
      <c r="GI37" s="1325"/>
      <c r="GJ37" s="1325"/>
      <c r="GK37" s="1325"/>
      <c r="GL37" s="1325"/>
      <c r="GM37" s="1325"/>
      <c r="GN37" s="1325"/>
      <c r="GO37" s="1325"/>
      <c r="GP37" s="1325"/>
      <c r="GQ37" s="1325"/>
      <c r="GR37" s="1325"/>
      <c r="GS37" s="1325"/>
      <c r="GT37" s="1325"/>
      <c r="GU37" s="1325"/>
      <c r="GV37" s="1325"/>
      <c r="GW37" s="1325"/>
      <c r="GX37" s="1325"/>
      <c r="GY37" s="1325"/>
      <c r="GZ37" s="1325"/>
      <c r="HA37" s="1325"/>
      <c r="HB37" s="1325"/>
      <c r="HC37" s="1325"/>
      <c r="HD37" s="1325"/>
      <c r="HE37" s="1325"/>
      <c r="HF37" s="1325"/>
      <c r="HG37" s="1325"/>
      <c r="HH37" s="1325"/>
      <c r="HI37" s="1325"/>
      <c r="HJ37" s="1325"/>
      <c r="HK37" s="1325"/>
      <c r="HL37" s="1325"/>
      <c r="HM37" s="1325"/>
      <c r="HN37" s="1325"/>
      <c r="HO37" s="1325"/>
      <c r="HP37" s="1325"/>
      <c r="HQ37" s="1325"/>
      <c r="HR37" s="1325"/>
      <c r="HS37" s="1325"/>
      <c r="HT37" s="1325"/>
      <c r="HU37" s="1325"/>
      <c r="HV37" s="1325"/>
      <c r="HW37" s="1325"/>
      <c r="HX37" s="1325"/>
      <c r="HY37" s="1325"/>
      <c r="HZ37" s="1325"/>
      <c r="IA37" s="1325"/>
      <c r="IB37" s="1325"/>
      <c r="IC37" s="1325"/>
      <c r="ID37" s="1325"/>
      <c r="IE37" s="1325"/>
      <c r="IF37" s="1325"/>
      <c r="IG37" s="1325"/>
      <c r="IH37" s="1325"/>
      <c r="II37" s="1325"/>
      <c r="IJ37" s="1325"/>
      <c r="IK37" s="1325"/>
      <c r="IL37" s="1325"/>
      <c r="IM37" s="1325"/>
      <c r="IN37" s="1325"/>
      <c r="IO37" s="1325"/>
      <c r="IP37" s="1325"/>
      <c r="IQ37" s="1325"/>
      <c r="IR37" s="1325"/>
      <c r="IS37" s="1325"/>
      <c r="IT37" s="1325"/>
      <c r="IU37" s="1325"/>
      <c r="IV37" s="1325"/>
    </row>
    <row r="38" spans="1:256" ht="48" customHeight="1">
      <c r="A38" s="1368" t="s">
        <v>818</v>
      </c>
      <c r="B38" s="1369" t="s">
        <v>819</v>
      </c>
      <c r="C38" s="1371">
        <f>SUM(C39+C44+C49)</f>
        <v>0</v>
      </c>
      <c r="D38" s="1371">
        <f>SUM(D39+D44+D49)</f>
        <v>0</v>
      </c>
      <c r="E38" s="1325"/>
      <c r="F38" s="1325"/>
      <c r="G38" s="1325"/>
      <c r="H38" s="1325"/>
      <c r="I38" s="1325"/>
      <c r="J38" s="1325"/>
      <c r="K38" s="1325"/>
      <c r="L38" s="1325"/>
      <c r="M38" s="1325"/>
      <c r="N38" s="1325"/>
      <c r="O38" s="1325"/>
      <c r="P38" s="1325"/>
      <c r="Q38" s="1325"/>
      <c r="R38" s="1325"/>
      <c r="S38" s="1325"/>
      <c r="T38" s="1325"/>
      <c r="U38" s="1325"/>
      <c r="V38" s="1325"/>
      <c r="W38" s="1325"/>
      <c r="X38" s="1325"/>
      <c r="Y38" s="1325"/>
      <c r="Z38" s="1325"/>
      <c r="AA38" s="1325"/>
      <c r="AB38" s="1325"/>
      <c r="AC38" s="1325"/>
      <c r="AD38" s="1325"/>
      <c r="AE38" s="1325"/>
      <c r="AF38" s="1325"/>
      <c r="AG38" s="1325"/>
      <c r="AH38" s="1325"/>
      <c r="AI38" s="1325"/>
      <c r="AJ38" s="1325"/>
      <c r="AK38" s="1325"/>
      <c r="AL38" s="1325"/>
      <c r="AM38" s="1325"/>
      <c r="AN38" s="1325"/>
      <c r="AO38" s="1325"/>
      <c r="AP38" s="1325"/>
      <c r="AQ38" s="1325"/>
      <c r="AR38" s="1325"/>
      <c r="AS38" s="1325"/>
      <c r="AT38" s="1325"/>
      <c r="AU38" s="1325"/>
      <c r="AV38" s="1325"/>
      <c r="AW38" s="1325"/>
      <c r="AX38" s="1325"/>
      <c r="AY38" s="1325"/>
      <c r="AZ38" s="1325"/>
      <c r="BA38" s="1325"/>
      <c r="BB38" s="1325"/>
      <c r="BC38" s="1325"/>
      <c r="BD38" s="1325"/>
      <c r="BE38" s="1325"/>
      <c r="BF38" s="1325"/>
      <c r="BG38" s="1325"/>
      <c r="BH38" s="1325"/>
      <c r="BI38" s="1325"/>
      <c r="BJ38" s="1325"/>
      <c r="BK38" s="1325"/>
      <c r="BL38" s="1325"/>
      <c r="BM38" s="1325"/>
      <c r="BN38" s="1325"/>
      <c r="BO38" s="1325"/>
      <c r="BP38" s="1325"/>
      <c r="BQ38" s="1325"/>
      <c r="BR38" s="1325"/>
      <c r="BS38" s="1325"/>
      <c r="BT38" s="1325"/>
      <c r="BU38" s="1325"/>
      <c r="BV38" s="1325"/>
      <c r="BW38" s="1325"/>
      <c r="BX38" s="1325"/>
      <c r="BY38" s="1325"/>
      <c r="BZ38" s="1325"/>
      <c r="CA38" s="1325"/>
      <c r="CB38" s="1325"/>
      <c r="CC38" s="1325"/>
      <c r="CD38" s="1325"/>
      <c r="CE38" s="1325"/>
      <c r="CF38" s="1325"/>
      <c r="CG38" s="1325"/>
      <c r="CH38" s="1325"/>
      <c r="CI38" s="1325"/>
      <c r="CJ38" s="1325"/>
      <c r="CK38" s="1325"/>
      <c r="CL38" s="1325"/>
      <c r="CM38" s="1325"/>
      <c r="CN38" s="1325"/>
      <c r="CO38" s="1325"/>
      <c r="CP38" s="1325"/>
      <c r="CQ38" s="1325"/>
      <c r="CR38" s="1325"/>
      <c r="CS38" s="1325"/>
      <c r="CT38" s="1325"/>
      <c r="CU38" s="1325"/>
      <c r="CV38" s="1325"/>
      <c r="CW38" s="1325"/>
      <c r="CX38" s="1325"/>
      <c r="CY38" s="1325"/>
      <c r="CZ38" s="1325"/>
      <c r="DA38" s="1325"/>
      <c r="DB38" s="1325"/>
      <c r="DC38" s="1325"/>
      <c r="DD38" s="1325"/>
      <c r="DE38" s="1325"/>
      <c r="DF38" s="1325"/>
      <c r="DG38" s="1325"/>
      <c r="DH38" s="1325"/>
      <c r="DI38" s="1325"/>
      <c r="DJ38" s="1325"/>
      <c r="DK38" s="1325"/>
      <c r="DL38" s="1325"/>
      <c r="DM38" s="1325"/>
      <c r="DN38" s="1325"/>
      <c r="DO38" s="1325"/>
      <c r="DP38" s="1325"/>
      <c r="DQ38" s="1325"/>
      <c r="DR38" s="1325"/>
      <c r="DS38" s="1325"/>
      <c r="DT38" s="1325"/>
      <c r="DU38" s="1325"/>
      <c r="DV38" s="1325"/>
      <c r="DW38" s="1325"/>
      <c r="DX38" s="1325"/>
      <c r="DY38" s="1325"/>
      <c r="DZ38" s="1325"/>
      <c r="EA38" s="1325"/>
      <c r="EB38" s="1325"/>
      <c r="EC38" s="1325"/>
      <c r="ED38" s="1325"/>
      <c r="EE38" s="1325"/>
      <c r="EF38" s="1325"/>
      <c r="EG38" s="1325"/>
      <c r="EH38" s="1325"/>
      <c r="EI38" s="1325"/>
      <c r="EJ38" s="1325"/>
      <c r="EK38" s="1325"/>
      <c r="EL38" s="1325"/>
      <c r="EM38" s="1325"/>
      <c r="EN38" s="1325"/>
      <c r="EO38" s="1325"/>
      <c r="EP38" s="1325"/>
      <c r="EQ38" s="1325"/>
      <c r="ER38" s="1325"/>
      <c r="ES38" s="1325"/>
      <c r="ET38" s="1325"/>
      <c r="EU38" s="1325"/>
      <c r="EV38" s="1325"/>
      <c r="EW38" s="1325"/>
      <c r="EX38" s="1325"/>
      <c r="EY38" s="1325"/>
      <c r="EZ38" s="1325"/>
      <c r="FA38" s="1325"/>
      <c r="FB38" s="1325"/>
      <c r="FC38" s="1325"/>
      <c r="FD38" s="1325"/>
      <c r="FE38" s="1325"/>
      <c r="FF38" s="1325"/>
      <c r="FG38" s="1325"/>
      <c r="FH38" s="1325"/>
      <c r="FI38" s="1325"/>
      <c r="FJ38" s="1325"/>
      <c r="FK38" s="1325"/>
      <c r="FL38" s="1325"/>
      <c r="FM38" s="1325"/>
      <c r="FN38" s="1325"/>
      <c r="FO38" s="1325"/>
      <c r="FP38" s="1325"/>
      <c r="FQ38" s="1325"/>
      <c r="FR38" s="1325"/>
      <c r="FS38" s="1325"/>
      <c r="FT38" s="1325"/>
      <c r="FU38" s="1325"/>
      <c r="FV38" s="1325"/>
      <c r="FW38" s="1325"/>
      <c r="FX38" s="1325"/>
      <c r="FY38" s="1325"/>
      <c r="FZ38" s="1325"/>
      <c r="GA38" s="1325"/>
      <c r="GB38" s="1325"/>
      <c r="GC38" s="1325"/>
      <c r="GD38" s="1325"/>
      <c r="GE38" s="1325"/>
      <c r="GF38" s="1325"/>
      <c r="GG38" s="1325"/>
      <c r="GH38" s="1325"/>
      <c r="GI38" s="1325"/>
      <c r="GJ38" s="1325"/>
      <c r="GK38" s="1325"/>
      <c r="GL38" s="1325"/>
      <c r="GM38" s="1325"/>
      <c r="GN38" s="1325"/>
      <c r="GO38" s="1325"/>
      <c r="GP38" s="1325"/>
      <c r="GQ38" s="1325"/>
      <c r="GR38" s="1325"/>
      <c r="GS38" s="1325"/>
      <c r="GT38" s="1325"/>
      <c r="GU38" s="1325"/>
      <c r="GV38" s="1325"/>
      <c r="GW38" s="1325"/>
      <c r="GX38" s="1325"/>
      <c r="GY38" s="1325"/>
      <c r="GZ38" s="1325"/>
      <c r="HA38" s="1325"/>
      <c r="HB38" s="1325"/>
      <c r="HC38" s="1325"/>
      <c r="HD38" s="1325"/>
      <c r="HE38" s="1325"/>
      <c r="HF38" s="1325"/>
      <c r="HG38" s="1325"/>
      <c r="HH38" s="1325"/>
      <c r="HI38" s="1325"/>
      <c r="HJ38" s="1325"/>
      <c r="HK38" s="1325"/>
      <c r="HL38" s="1325"/>
      <c r="HM38" s="1325"/>
      <c r="HN38" s="1325"/>
      <c r="HO38" s="1325"/>
      <c r="HP38" s="1325"/>
      <c r="HQ38" s="1325"/>
      <c r="HR38" s="1325"/>
      <c r="HS38" s="1325"/>
      <c r="HT38" s="1325"/>
      <c r="HU38" s="1325"/>
      <c r="HV38" s="1325"/>
      <c r="HW38" s="1325"/>
      <c r="HX38" s="1325"/>
      <c r="HY38" s="1325"/>
      <c r="HZ38" s="1325"/>
      <c r="IA38" s="1325"/>
      <c r="IB38" s="1325"/>
      <c r="IC38" s="1325"/>
      <c r="ID38" s="1325"/>
      <c r="IE38" s="1325"/>
      <c r="IF38" s="1325"/>
      <c r="IG38" s="1325"/>
      <c r="IH38" s="1325"/>
      <c r="II38" s="1325"/>
      <c r="IJ38" s="1325"/>
      <c r="IK38" s="1325"/>
      <c r="IL38" s="1325"/>
      <c r="IM38" s="1325"/>
      <c r="IN38" s="1325"/>
      <c r="IO38" s="1325"/>
      <c r="IP38" s="1325"/>
      <c r="IQ38" s="1325"/>
      <c r="IR38" s="1325"/>
      <c r="IS38" s="1325"/>
      <c r="IT38" s="1325"/>
      <c r="IU38" s="1325"/>
      <c r="IV38" s="1325"/>
    </row>
    <row r="39" spans="1:256" ht="48" customHeight="1">
      <c r="A39" s="1368" t="s">
        <v>820</v>
      </c>
      <c r="B39" s="1369" t="s">
        <v>821</v>
      </c>
      <c r="C39" s="1371">
        <f>SUM(C40:C43)</f>
        <v>0</v>
      </c>
      <c r="D39" s="1371">
        <f>SUM(D40:D43)</f>
        <v>0</v>
      </c>
      <c r="E39" s="1325"/>
      <c r="F39" s="1325"/>
      <c r="G39" s="1325"/>
      <c r="H39" s="1325"/>
      <c r="I39" s="1325"/>
      <c r="J39" s="1325"/>
      <c r="K39" s="1325"/>
      <c r="L39" s="1325"/>
      <c r="M39" s="1325"/>
      <c r="N39" s="1325"/>
      <c r="O39" s="1325"/>
      <c r="P39" s="1325"/>
      <c r="Q39" s="1325"/>
      <c r="R39" s="1325"/>
      <c r="S39" s="1325"/>
      <c r="T39" s="1325"/>
      <c r="U39" s="1325"/>
      <c r="V39" s="1325"/>
      <c r="W39" s="1325"/>
      <c r="X39" s="1325"/>
      <c r="Y39" s="1325"/>
      <c r="Z39" s="1325"/>
      <c r="AA39" s="1325"/>
      <c r="AB39" s="1325"/>
      <c r="AC39" s="1325"/>
      <c r="AD39" s="1325"/>
      <c r="AE39" s="1325"/>
      <c r="AF39" s="1325"/>
      <c r="AG39" s="1325"/>
      <c r="AH39" s="1325"/>
      <c r="AI39" s="1325"/>
      <c r="AJ39" s="1325"/>
      <c r="AK39" s="1325"/>
      <c r="AL39" s="1325"/>
      <c r="AM39" s="1325"/>
      <c r="AN39" s="1325"/>
      <c r="AO39" s="1325"/>
      <c r="AP39" s="1325"/>
      <c r="AQ39" s="1325"/>
      <c r="AR39" s="1325"/>
      <c r="AS39" s="1325"/>
      <c r="AT39" s="1325"/>
      <c r="AU39" s="1325"/>
      <c r="AV39" s="1325"/>
      <c r="AW39" s="1325"/>
      <c r="AX39" s="1325"/>
      <c r="AY39" s="1325"/>
      <c r="AZ39" s="1325"/>
      <c r="BA39" s="1325"/>
      <c r="BB39" s="1325"/>
      <c r="BC39" s="1325"/>
      <c r="BD39" s="1325"/>
      <c r="BE39" s="1325"/>
      <c r="BF39" s="1325"/>
      <c r="BG39" s="1325"/>
      <c r="BH39" s="1325"/>
      <c r="BI39" s="1325"/>
      <c r="BJ39" s="1325"/>
      <c r="BK39" s="1325"/>
      <c r="BL39" s="1325"/>
      <c r="BM39" s="1325"/>
      <c r="BN39" s="1325"/>
      <c r="BO39" s="1325"/>
      <c r="BP39" s="1325"/>
      <c r="BQ39" s="1325"/>
      <c r="BR39" s="1325"/>
      <c r="BS39" s="1325"/>
      <c r="BT39" s="1325"/>
      <c r="BU39" s="1325"/>
      <c r="BV39" s="1325"/>
      <c r="BW39" s="1325"/>
      <c r="BX39" s="1325"/>
      <c r="BY39" s="1325"/>
      <c r="BZ39" s="1325"/>
      <c r="CA39" s="1325"/>
      <c r="CB39" s="1325"/>
      <c r="CC39" s="1325"/>
      <c r="CD39" s="1325"/>
      <c r="CE39" s="1325"/>
      <c r="CF39" s="1325"/>
      <c r="CG39" s="1325"/>
      <c r="CH39" s="1325"/>
      <c r="CI39" s="1325"/>
      <c r="CJ39" s="1325"/>
      <c r="CK39" s="1325"/>
      <c r="CL39" s="1325"/>
      <c r="CM39" s="1325"/>
      <c r="CN39" s="1325"/>
      <c r="CO39" s="1325"/>
      <c r="CP39" s="1325"/>
      <c r="CQ39" s="1325"/>
      <c r="CR39" s="1325"/>
      <c r="CS39" s="1325"/>
      <c r="CT39" s="1325"/>
      <c r="CU39" s="1325"/>
      <c r="CV39" s="1325"/>
      <c r="CW39" s="1325"/>
      <c r="CX39" s="1325"/>
      <c r="CY39" s="1325"/>
      <c r="CZ39" s="1325"/>
      <c r="DA39" s="1325"/>
      <c r="DB39" s="1325"/>
      <c r="DC39" s="1325"/>
      <c r="DD39" s="1325"/>
      <c r="DE39" s="1325"/>
      <c r="DF39" s="1325"/>
      <c r="DG39" s="1325"/>
      <c r="DH39" s="1325"/>
      <c r="DI39" s="1325"/>
      <c r="DJ39" s="1325"/>
      <c r="DK39" s="1325"/>
      <c r="DL39" s="1325"/>
      <c r="DM39" s="1325"/>
      <c r="DN39" s="1325"/>
      <c r="DO39" s="1325"/>
      <c r="DP39" s="1325"/>
      <c r="DQ39" s="1325"/>
      <c r="DR39" s="1325"/>
      <c r="DS39" s="1325"/>
      <c r="DT39" s="1325"/>
      <c r="DU39" s="1325"/>
      <c r="DV39" s="1325"/>
      <c r="DW39" s="1325"/>
      <c r="DX39" s="1325"/>
      <c r="DY39" s="1325"/>
      <c r="DZ39" s="1325"/>
      <c r="EA39" s="1325"/>
      <c r="EB39" s="1325"/>
      <c r="EC39" s="1325"/>
      <c r="ED39" s="1325"/>
      <c r="EE39" s="1325"/>
      <c r="EF39" s="1325"/>
      <c r="EG39" s="1325"/>
      <c r="EH39" s="1325"/>
      <c r="EI39" s="1325"/>
      <c r="EJ39" s="1325"/>
      <c r="EK39" s="1325"/>
      <c r="EL39" s="1325"/>
      <c r="EM39" s="1325"/>
      <c r="EN39" s="1325"/>
      <c r="EO39" s="1325"/>
      <c r="EP39" s="1325"/>
      <c r="EQ39" s="1325"/>
      <c r="ER39" s="1325"/>
      <c r="ES39" s="1325"/>
      <c r="ET39" s="1325"/>
      <c r="EU39" s="1325"/>
      <c r="EV39" s="1325"/>
      <c r="EW39" s="1325"/>
      <c r="EX39" s="1325"/>
      <c r="EY39" s="1325"/>
      <c r="EZ39" s="1325"/>
      <c r="FA39" s="1325"/>
      <c r="FB39" s="1325"/>
      <c r="FC39" s="1325"/>
      <c r="FD39" s="1325"/>
      <c r="FE39" s="1325"/>
      <c r="FF39" s="1325"/>
      <c r="FG39" s="1325"/>
      <c r="FH39" s="1325"/>
      <c r="FI39" s="1325"/>
      <c r="FJ39" s="1325"/>
      <c r="FK39" s="1325"/>
      <c r="FL39" s="1325"/>
      <c r="FM39" s="1325"/>
      <c r="FN39" s="1325"/>
      <c r="FO39" s="1325"/>
      <c r="FP39" s="1325"/>
      <c r="FQ39" s="1325"/>
      <c r="FR39" s="1325"/>
      <c r="FS39" s="1325"/>
      <c r="FT39" s="1325"/>
      <c r="FU39" s="1325"/>
      <c r="FV39" s="1325"/>
      <c r="FW39" s="1325"/>
      <c r="FX39" s="1325"/>
      <c r="FY39" s="1325"/>
      <c r="FZ39" s="1325"/>
      <c r="GA39" s="1325"/>
      <c r="GB39" s="1325"/>
      <c r="GC39" s="1325"/>
      <c r="GD39" s="1325"/>
      <c r="GE39" s="1325"/>
      <c r="GF39" s="1325"/>
      <c r="GG39" s="1325"/>
      <c r="GH39" s="1325"/>
      <c r="GI39" s="1325"/>
      <c r="GJ39" s="1325"/>
      <c r="GK39" s="1325"/>
      <c r="GL39" s="1325"/>
      <c r="GM39" s="1325"/>
      <c r="GN39" s="1325"/>
      <c r="GO39" s="1325"/>
      <c r="GP39" s="1325"/>
      <c r="GQ39" s="1325"/>
      <c r="GR39" s="1325"/>
      <c r="GS39" s="1325"/>
      <c r="GT39" s="1325"/>
      <c r="GU39" s="1325"/>
      <c r="GV39" s="1325"/>
      <c r="GW39" s="1325"/>
      <c r="GX39" s="1325"/>
      <c r="GY39" s="1325"/>
      <c r="GZ39" s="1325"/>
      <c r="HA39" s="1325"/>
      <c r="HB39" s="1325"/>
      <c r="HC39" s="1325"/>
      <c r="HD39" s="1325"/>
      <c r="HE39" s="1325"/>
      <c r="HF39" s="1325"/>
      <c r="HG39" s="1325"/>
      <c r="HH39" s="1325"/>
      <c r="HI39" s="1325"/>
      <c r="HJ39" s="1325"/>
      <c r="HK39" s="1325"/>
      <c r="HL39" s="1325"/>
      <c r="HM39" s="1325"/>
      <c r="HN39" s="1325"/>
      <c r="HO39" s="1325"/>
      <c r="HP39" s="1325"/>
      <c r="HQ39" s="1325"/>
      <c r="HR39" s="1325"/>
      <c r="HS39" s="1325"/>
      <c r="HT39" s="1325"/>
      <c r="HU39" s="1325"/>
      <c r="HV39" s="1325"/>
      <c r="HW39" s="1325"/>
      <c r="HX39" s="1325"/>
      <c r="HY39" s="1325"/>
      <c r="HZ39" s="1325"/>
      <c r="IA39" s="1325"/>
      <c r="IB39" s="1325"/>
      <c r="IC39" s="1325"/>
      <c r="ID39" s="1325"/>
      <c r="IE39" s="1325"/>
      <c r="IF39" s="1325"/>
      <c r="IG39" s="1325"/>
      <c r="IH39" s="1325"/>
      <c r="II39" s="1325"/>
      <c r="IJ39" s="1325"/>
      <c r="IK39" s="1325"/>
      <c r="IL39" s="1325"/>
      <c r="IM39" s="1325"/>
      <c r="IN39" s="1325"/>
      <c r="IO39" s="1325"/>
      <c r="IP39" s="1325"/>
      <c r="IQ39" s="1325"/>
      <c r="IR39" s="1325"/>
      <c r="IS39" s="1325"/>
      <c r="IT39" s="1325"/>
      <c r="IU39" s="1325"/>
      <c r="IV39" s="1325"/>
    </row>
    <row r="40" spans="1:256" ht="48" customHeight="1">
      <c r="A40" s="1365" t="s">
        <v>822</v>
      </c>
      <c r="B40" s="1366" t="s">
        <v>823</v>
      </c>
      <c r="C40" s="1367"/>
      <c r="D40" s="1367"/>
      <c r="E40" s="1325"/>
      <c r="F40" s="1325"/>
      <c r="G40" s="1325"/>
      <c r="H40" s="1325"/>
      <c r="I40" s="1325"/>
      <c r="J40" s="1325"/>
      <c r="K40" s="1325"/>
      <c r="L40" s="1325"/>
      <c r="M40" s="1325"/>
      <c r="N40" s="1325"/>
      <c r="O40" s="1325"/>
      <c r="P40" s="1325"/>
      <c r="Q40" s="1325"/>
      <c r="R40" s="1325"/>
      <c r="S40" s="1325"/>
      <c r="T40" s="1325"/>
      <c r="U40" s="1325"/>
      <c r="V40" s="1325"/>
      <c r="W40" s="1325"/>
      <c r="X40" s="1325"/>
      <c r="Y40" s="1325"/>
      <c r="Z40" s="1325"/>
      <c r="AA40" s="1325"/>
      <c r="AB40" s="1325"/>
      <c r="AC40" s="1325"/>
      <c r="AD40" s="1325"/>
      <c r="AE40" s="1325"/>
      <c r="AF40" s="1325"/>
      <c r="AG40" s="1325"/>
      <c r="AH40" s="1325"/>
      <c r="AI40" s="1325"/>
      <c r="AJ40" s="1325"/>
      <c r="AK40" s="1325"/>
      <c r="AL40" s="1325"/>
      <c r="AM40" s="1325"/>
      <c r="AN40" s="1325"/>
      <c r="AO40" s="1325"/>
      <c r="AP40" s="1325"/>
      <c r="AQ40" s="1325"/>
      <c r="AR40" s="1325"/>
      <c r="AS40" s="1325"/>
      <c r="AT40" s="1325"/>
      <c r="AU40" s="1325"/>
      <c r="AV40" s="1325"/>
      <c r="AW40" s="1325"/>
      <c r="AX40" s="1325"/>
      <c r="AY40" s="1325"/>
      <c r="AZ40" s="1325"/>
      <c r="BA40" s="1325"/>
      <c r="BB40" s="1325"/>
      <c r="BC40" s="1325"/>
      <c r="BD40" s="1325"/>
      <c r="BE40" s="1325"/>
      <c r="BF40" s="1325"/>
      <c r="BG40" s="1325"/>
      <c r="BH40" s="1325"/>
      <c r="BI40" s="1325"/>
      <c r="BJ40" s="1325"/>
      <c r="BK40" s="1325"/>
      <c r="BL40" s="1325"/>
      <c r="BM40" s="1325"/>
      <c r="BN40" s="1325"/>
      <c r="BO40" s="1325"/>
      <c r="BP40" s="1325"/>
      <c r="BQ40" s="1325"/>
      <c r="BR40" s="1325"/>
      <c r="BS40" s="1325"/>
      <c r="BT40" s="1325"/>
      <c r="BU40" s="1325"/>
      <c r="BV40" s="1325"/>
      <c r="BW40" s="1325"/>
      <c r="BX40" s="1325"/>
      <c r="BY40" s="1325"/>
      <c r="BZ40" s="1325"/>
      <c r="CA40" s="1325"/>
      <c r="CB40" s="1325"/>
      <c r="CC40" s="1325"/>
      <c r="CD40" s="1325"/>
      <c r="CE40" s="1325"/>
      <c r="CF40" s="1325"/>
      <c r="CG40" s="1325"/>
      <c r="CH40" s="1325"/>
      <c r="CI40" s="1325"/>
      <c r="CJ40" s="1325"/>
      <c r="CK40" s="1325"/>
      <c r="CL40" s="1325"/>
      <c r="CM40" s="1325"/>
      <c r="CN40" s="1325"/>
      <c r="CO40" s="1325"/>
      <c r="CP40" s="1325"/>
      <c r="CQ40" s="1325"/>
      <c r="CR40" s="1325"/>
      <c r="CS40" s="1325"/>
      <c r="CT40" s="1325"/>
      <c r="CU40" s="1325"/>
      <c r="CV40" s="1325"/>
      <c r="CW40" s="1325"/>
      <c r="CX40" s="1325"/>
      <c r="CY40" s="1325"/>
      <c r="CZ40" s="1325"/>
      <c r="DA40" s="1325"/>
      <c r="DB40" s="1325"/>
      <c r="DC40" s="1325"/>
      <c r="DD40" s="1325"/>
      <c r="DE40" s="1325"/>
      <c r="DF40" s="1325"/>
      <c r="DG40" s="1325"/>
      <c r="DH40" s="1325"/>
      <c r="DI40" s="1325"/>
      <c r="DJ40" s="1325"/>
      <c r="DK40" s="1325"/>
      <c r="DL40" s="1325"/>
      <c r="DM40" s="1325"/>
      <c r="DN40" s="1325"/>
      <c r="DO40" s="1325"/>
      <c r="DP40" s="1325"/>
      <c r="DQ40" s="1325"/>
      <c r="DR40" s="1325"/>
      <c r="DS40" s="1325"/>
      <c r="DT40" s="1325"/>
      <c r="DU40" s="1325"/>
      <c r="DV40" s="1325"/>
      <c r="DW40" s="1325"/>
      <c r="DX40" s="1325"/>
      <c r="DY40" s="1325"/>
      <c r="DZ40" s="1325"/>
      <c r="EA40" s="1325"/>
      <c r="EB40" s="1325"/>
      <c r="EC40" s="1325"/>
      <c r="ED40" s="1325"/>
      <c r="EE40" s="1325"/>
      <c r="EF40" s="1325"/>
      <c r="EG40" s="1325"/>
      <c r="EH40" s="1325"/>
      <c r="EI40" s="1325"/>
      <c r="EJ40" s="1325"/>
      <c r="EK40" s="1325"/>
      <c r="EL40" s="1325"/>
      <c r="EM40" s="1325"/>
      <c r="EN40" s="1325"/>
      <c r="EO40" s="1325"/>
      <c r="EP40" s="1325"/>
      <c r="EQ40" s="1325"/>
      <c r="ER40" s="1325"/>
      <c r="ES40" s="1325"/>
      <c r="ET40" s="1325"/>
      <c r="EU40" s="1325"/>
      <c r="EV40" s="1325"/>
      <c r="EW40" s="1325"/>
      <c r="EX40" s="1325"/>
      <c r="EY40" s="1325"/>
      <c r="EZ40" s="1325"/>
      <c r="FA40" s="1325"/>
      <c r="FB40" s="1325"/>
      <c r="FC40" s="1325"/>
      <c r="FD40" s="1325"/>
      <c r="FE40" s="1325"/>
      <c r="FF40" s="1325"/>
      <c r="FG40" s="1325"/>
      <c r="FH40" s="1325"/>
      <c r="FI40" s="1325"/>
      <c r="FJ40" s="1325"/>
      <c r="FK40" s="1325"/>
      <c r="FL40" s="1325"/>
      <c r="FM40" s="1325"/>
      <c r="FN40" s="1325"/>
      <c r="FO40" s="1325"/>
      <c r="FP40" s="1325"/>
      <c r="FQ40" s="1325"/>
      <c r="FR40" s="1325"/>
      <c r="FS40" s="1325"/>
      <c r="FT40" s="1325"/>
      <c r="FU40" s="1325"/>
      <c r="FV40" s="1325"/>
      <c r="FW40" s="1325"/>
      <c r="FX40" s="1325"/>
      <c r="FY40" s="1325"/>
      <c r="FZ40" s="1325"/>
      <c r="GA40" s="1325"/>
      <c r="GB40" s="1325"/>
      <c r="GC40" s="1325"/>
      <c r="GD40" s="1325"/>
      <c r="GE40" s="1325"/>
      <c r="GF40" s="1325"/>
      <c r="GG40" s="1325"/>
      <c r="GH40" s="1325"/>
      <c r="GI40" s="1325"/>
      <c r="GJ40" s="1325"/>
      <c r="GK40" s="1325"/>
      <c r="GL40" s="1325"/>
      <c r="GM40" s="1325"/>
      <c r="GN40" s="1325"/>
      <c r="GO40" s="1325"/>
      <c r="GP40" s="1325"/>
      <c r="GQ40" s="1325"/>
      <c r="GR40" s="1325"/>
      <c r="GS40" s="1325"/>
      <c r="GT40" s="1325"/>
      <c r="GU40" s="1325"/>
      <c r="GV40" s="1325"/>
      <c r="GW40" s="1325"/>
      <c r="GX40" s="1325"/>
      <c r="GY40" s="1325"/>
      <c r="GZ40" s="1325"/>
      <c r="HA40" s="1325"/>
      <c r="HB40" s="1325"/>
      <c r="HC40" s="1325"/>
      <c r="HD40" s="1325"/>
      <c r="HE40" s="1325"/>
      <c r="HF40" s="1325"/>
      <c r="HG40" s="1325"/>
      <c r="HH40" s="1325"/>
      <c r="HI40" s="1325"/>
      <c r="HJ40" s="1325"/>
      <c r="HK40" s="1325"/>
      <c r="HL40" s="1325"/>
      <c r="HM40" s="1325"/>
      <c r="HN40" s="1325"/>
      <c r="HO40" s="1325"/>
      <c r="HP40" s="1325"/>
      <c r="HQ40" s="1325"/>
      <c r="HR40" s="1325"/>
      <c r="HS40" s="1325"/>
      <c r="HT40" s="1325"/>
      <c r="HU40" s="1325"/>
      <c r="HV40" s="1325"/>
      <c r="HW40" s="1325"/>
      <c r="HX40" s="1325"/>
      <c r="HY40" s="1325"/>
      <c r="HZ40" s="1325"/>
      <c r="IA40" s="1325"/>
      <c r="IB40" s="1325"/>
      <c r="IC40" s="1325"/>
      <c r="ID40" s="1325"/>
      <c r="IE40" s="1325"/>
      <c r="IF40" s="1325"/>
      <c r="IG40" s="1325"/>
      <c r="IH40" s="1325"/>
      <c r="II40" s="1325"/>
      <c r="IJ40" s="1325"/>
      <c r="IK40" s="1325"/>
      <c r="IL40" s="1325"/>
      <c r="IM40" s="1325"/>
      <c r="IN40" s="1325"/>
      <c r="IO40" s="1325"/>
      <c r="IP40" s="1325"/>
      <c r="IQ40" s="1325"/>
      <c r="IR40" s="1325"/>
      <c r="IS40" s="1325"/>
      <c r="IT40" s="1325"/>
      <c r="IU40" s="1325"/>
      <c r="IV40" s="1325"/>
    </row>
    <row r="41" spans="1:256" ht="48" customHeight="1">
      <c r="A41" s="1365" t="s">
        <v>824</v>
      </c>
      <c r="B41" s="1366" t="s">
        <v>825</v>
      </c>
      <c r="C41" s="1367"/>
      <c r="D41" s="1367"/>
      <c r="E41" s="1325"/>
      <c r="F41" s="1325"/>
      <c r="G41" s="1325"/>
      <c r="H41" s="1325"/>
      <c r="I41" s="1325"/>
      <c r="J41" s="1325"/>
      <c r="K41" s="1325"/>
      <c r="L41" s="1325"/>
      <c r="M41" s="1325"/>
      <c r="N41" s="1325"/>
      <c r="O41" s="1325"/>
      <c r="P41" s="1325"/>
      <c r="Q41" s="1325"/>
      <c r="R41" s="1325"/>
      <c r="S41" s="1325"/>
      <c r="T41" s="1325"/>
      <c r="U41" s="1325"/>
      <c r="V41" s="1325"/>
      <c r="W41" s="1325"/>
      <c r="X41" s="1325"/>
      <c r="Y41" s="1325"/>
      <c r="Z41" s="1325"/>
      <c r="AA41" s="1325"/>
      <c r="AB41" s="1325"/>
      <c r="AC41" s="1325"/>
      <c r="AD41" s="1325"/>
      <c r="AE41" s="1325"/>
      <c r="AF41" s="1325"/>
      <c r="AG41" s="1325"/>
      <c r="AH41" s="1325"/>
      <c r="AI41" s="1325"/>
      <c r="AJ41" s="1325"/>
      <c r="AK41" s="1325"/>
      <c r="AL41" s="1325"/>
      <c r="AM41" s="1325"/>
      <c r="AN41" s="1325"/>
      <c r="AO41" s="1325"/>
      <c r="AP41" s="1325"/>
      <c r="AQ41" s="1325"/>
      <c r="AR41" s="1325"/>
      <c r="AS41" s="1325"/>
      <c r="AT41" s="1325"/>
      <c r="AU41" s="1325"/>
      <c r="AV41" s="1325"/>
      <c r="AW41" s="1325"/>
      <c r="AX41" s="1325"/>
      <c r="AY41" s="1325"/>
      <c r="AZ41" s="1325"/>
      <c r="BA41" s="1325"/>
      <c r="BB41" s="1325"/>
      <c r="BC41" s="1325"/>
      <c r="BD41" s="1325"/>
      <c r="BE41" s="1325"/>
      <c r="BF41" s="1325"/>
      <c r="BG41" s="1325"/>
      <c r="BH41" s="1325"/>
      <c r="BI41" s="1325"/>
      <c r="BJ41" s="1325"/>
      <c r="BK41" s="1325"/>
      <c r="BL41" s="1325"/>
      <c r="BM41" s="1325"/>
      <c r="BN41" s="1325"/>
      <c r="BO41" s="1325"/>
      <c r="BP41" s="1325"/>
      <c r="BQ41" s="1325"/>
      <c r="BR41" s="1325"/>
      <c r="BS41" s="1325"/>
      <c r="BT41" s="1325"/>
      <c r="BU41" s="1325"/>
      <c r="BV41" s="1325"/>
      <c r="BW41" s="1325"/>
      <c r="BX41" s="1325"/>
      <c r="BY41" s="1325"/>
      <c r="BZ41" s="1325"/>
      <c r="CA41" s="1325"/>
      <c r="CB41" s="1325"/>
      <c r="CC41" s="1325"/>
      <c r="CD41" s="1325"/>
      <c r="CE41" s="1325"/>
      <c r="CF41" s="1325"/>
      <c r="CG41" s="1325"/>
      <c r="CH41" s="1325"/>
      <c r="CI41" s="1325"/>
      <c r="CJ41" s="1325"/>
      <c r="CK41" s="1325"/>
      <c r="CL41" s="1325"/>
      <c r="CM41" s="1325"/>
      <c r="CN41" s="1325"/>
      <c r="CO41" s="1325"/>
      <c r="CP41" s="1325"/>
      <c r="CQ41" s="1325"/>
      <c r="CR41" s="1325"/>
      <c r="CS41" s="1325"/>
      <c r="CT41" s="1325"/>
      <c r="CU41" s="1325"/>
      <c r="CV41" s="1325"/>
      <c r="CW41" s="1325"/>
      <c r="CX41" s="1325"/>
      <c r="CY41" s="1325"/>
      <c r="CZ41" s="1325"/>
      <c r="DA41" s="1325"/>
      <c r="DB41" s="1325"/>
      <c r="DC41" s="1325"/>
      <c r="DD41" s="1325"/>
      <c r="DE41" s="1325"/>
      <c r="DF41" s="1325"/>
      <c r="DG41" s="1325"/>
      <c r="DH41" s="1325"/>
      <c r="DI41" s="1325"/>
      <c r="DJ41" s="1325"/>
      <c r="DK41" s="1325"/>
      <c r="DL41" s="1325"/>
      <c r="DM41" s="1325"/>
      <c r="DN41" s="1325"/>
      <c r="DO41" s="1325"/>
      <c r="DP41" s="1325"/>
      <c r="DQ41" s="1325"/>
      <c r="DR41" s="1325"/>
      <c r="DS41" s="1325"/>
      <c r="DT41" s="1325"/>
      <c r="DU41" s="1325"/>
      <c r="DV41" s="1325"/>
      <c r="DW41" s="1325"/>
      <c r="DX41" s="1325"/>
      <c r="DY41" s="1325"/>
      <c r="DZ41" s="1325"/>
      <c r="EA41" s="1325"/>
      <c r="EB41" s="1325"/>
      <c r="EC41" s="1325"/>
      <c r="ED41" s="1325"/>
      <c r="EE41" s="1325"/>
      <c r="EF41" s="1325"/>
      <c r="EG41" s="1325"/>
      <c r="EH41" s="1325"/>
      <c r="EI41" s="1325"/>
      <c r="EJ41" s="1325"/>
      <c r="EK41" s="1325"/>
      <c r="EL41" s="1325"/>
      <c r="EM41" s="1325"/>
      <c r="EN41" s="1325"/>
      <c r="EO41" s="1325"/>
      <c r="EP41" s="1325"/>
      <c r="EQ41" s="1325"/>
      <c r="ER41" s="1325"/>
      <c r="ES41" s="1325"/>
      <c r="ET41" s="1325"/>
      <c r="EU41" s="1325"/>
      <c r="EV41" s="1325"/>
      <c r="EW41" s="1325"/>
      <c r="EX41" s="1325"/>
      <c r="EY41" s="1325"/>
      <c r="EZ41" s="1325"/>
      <c r="FA41" s="1325"/>
      <c r="FB41" s="1325"/>
      <c r="FC41" s="1325"/>
      <c r="FD41" s="1325"/>
      <c r="FE41" s="1325"/>
      <c r="FF41" s="1325"/>
      <c r="FG41" s="1325"/>
      <c r="FH41" s="1325"/>
      <c r="FI41" s="1325"/>
      <c r="FJ41" s="1325"/>
      <c r="FK41" s="1325"/>
      <c r="FL41" s="1325"/>
      <c r="FM41" s="1325"/>
      <c r="FN41" s="1325"/>
      <c r="FO41" s="1325"/>
      <c r="FP41" s="1325"/>
      <c r="FQ41" s="1325"/>
      <c r="FR41" s="1325"/>
      <c r="FS41" s="1325"/>
      <c r="FT41" s="1325"/>
      <c r="FU41" s="1325"/>
      <c r="FV41" s="1325"/>
      <c r="FW41" s="1325"/>
      <c r="FX41" s="1325"/>
      <c r="FY41" s="1325"/>
      <c r="FZ41" s="1325"/>
      <c r="GA41" s="1325"/>
      <c r="GB41" s="1325"/>
      <c r="GC41" s="1325"/>
      <c r="GD41" s="1325"/>
      <c r="GE41" s="1325"/>
      <c r="GF41" s="1325"/>
      <c r="GG41" s="1325"/>
      <c r="GH41" s="1325"/>
      <c r="GI41" s="1325"/>
      <c r="GJ41" s="1325"/>
      <c r="GK41" s="1325"/>
      <c r="GL41" s="1325"/>
      <c r="GM41" s="1325"/>
      <c r="GN41" s="1325"/>
      <c r="GO41" s="1325"/>
      <c r="GP41" s="1325"/>
      <c r="GQ41" s="1325"/>
      <c r="GR41" s="1325"/>
      <c r="GS41" s="1325"/>
      <c r="GT41" s="1325"/>
      <c r="GU41" s="1325"/>
      <c r="GV41" s="1325"/>
      <c r="GW41" s="1325"/>
      <c r="GX41" s="1325"/>
      <c r="GY41" s="1325"/>
      <c r="GZ41" s="1325"/>
      <c r="HA41" s="1325"/>
      <c r="HB41" s="1325"/>
      <c r="HC41" s="1325"/>
      <c r="HD41" s="1325"/>
      <c r="HE41" s="1325"/>
      <c r="HF41" s="1325"/>
      <c r="HG41" s="1325"/>
      <c r="HH41" s="1325"/>
      <c r="HI41" s="1325"/>
      <c r="HJ41" s="1325"/>
      <c r="HK41" s="1325"/>
      <c r="HL41" s="1325"/>
      <c r="HM41" s="1325"/>
      <c r="HN41" s="1325"/>
      <c r="HO41" s="1325"/>
      <c r="HP41" s="1325"/>
      <c r="HQ41" s="1325"/>
      <c r="HR41" s="1325"/>
      <c r="HS41" s="1325"/>
      <c r="HT41" s="1325"/>
      <c r="HU41" s="1325"/>
      <c r="HV41" s="1325"/>
      <c r="HW41" s="1325"/>
      <c r="HX41" s="1325"/>
      <c r="HY41" s="1325"/>
      <c r="HZ41" s="1325"/>
      <c r="IA41" s="1325"/>
      <c r="IB41" s="1325"/>
      <c r="IC41" s="1325"/>
      <c r="ID41" s="1325"/>
      <c r="IE41" s="1325"/>
      <c r="IF41" s="1325"/>
      <c r="IG41" s="1325"/>
      <c r="IH41" s="1325"/>
      <c r="II41" s="1325"/>
      <c r="IJ41" s="1325"/>
      <c r="IK41" s="1325"/>
      <c r="IL41" s="1325"/>
      <c r="IM41" s="1325"/>
      <c r="IN41" s="1325"/>
      <c r="IO41" s="1325"/>
      <c r="IP41" s="1325"/>
      <c r="IQ41" s="1325"/>
      <c r="IR41" s="1325"/>
      <c r="IS41" s="1325"/>
      <c r="IT41" s="1325"/>
      <c r="IU41" s="1325"/>
      <c r="IV41" s="1325"/>
    </row>
    <row r="42" spans="1:256" ht="48" customHeight="1">
      <c r="A42" s="1365" t="s">
        <v>826</v>
      </c>
      <c r="B42" s="1366" t="s">
        <v>827</v>
      </c>
      <c r="C42" s="1367"/>
      <c r="D42" s="1367"/>
      <c r="E42" s="1325"/>
      <c r="F42" s="1325"/>
      <c r="G42" s="1325"/>
      <c r="H42" s="1325"/>
      <c r="I42" s="1325"/>
      <c r="J42" s="1325"/>
      <c r="K42" s="1325"/>
      <c r="L42" s="1325"/>
      <c r="M42" s="1325"/>
      <c r="N42" s="1325"/>
      <c r="O42" s="1325"/>
      <c r="P42" s="1325"/>
      <c r="Q42" s="1325"/>
      <c r="R42" s="1325"/>
      <c r="S42" s="1325"/>
      <c r="T42" s="1325"/>
      <c r="U42" s="1325"/>
      <c r="V42" s="1325"/>
      <c r="W42" s="1325"/>
      <c r="X42" s="1325"/>
      <c r="Y42" s="1325"/>
      <c r="Z42" s="1325"/>
      <c r="AA42" s="1325"/>
      <c r="AB42" s="1325"/>
      <c r="AC42" s="1325"/>
      <c r="AD42" s="1325"/>
      <c r="AE42" s="1325"/>
      <c r="AF42" s="1325"/>
      <c r="AG42" s="1325"/>
      <c r="AH42" s="1325"/>
      <c r="AI42" s="1325"/>
      <c r="AJ42" s="1325"/>
      <c r="AK42" s="1325"/>
      <c r="AL42" s="1325"/>
      <c r="AM42" s="1325"/>
      <c r="AN42" s="1325"/>
      <c r="AO42" s="1325"/>
      <c r="AP42" s="1325"/>
      <c r="AQ42" s="1325"/>
      <c r="AR42" s="1325"/>
      <c r="AS42" s="1325"/>
      <c r="AT42" s="1325"/>
      <c r="AU42" s="1325"/>
      <c r="AV42" s="1325"/>
      <c r="AW42" s="1325"/>
      <c r="AX42" s="1325"/>
      <c r="AY42" s="1325"/>
      <c r="AZ42" s="1325"/>
      <c r="BA42" s="1325"/>
      <c r="BB42" s="1325"/>
      <c r="BC42" s="1325"/>
      <c r="BD42" s="1325"/>
      <c r="BE42" s="1325"/>
      <c r="BF42" s="1325"/>
      <c r="BG42" s="1325"/>
      <c r="BH42" s="1325"/>
      <c r="BI42" s="1325"/>
      <c r="BJ42" s="1325"/>
      <c r="BK42" s="1325"/>
      <c r="BL42" s="1325"/>
      <c r="BM42" s="1325"/>
      <c r="BN42" s="1325"/>
      <c r="BO42" s="1325"/>
      <c r="BP42" s="1325"/>
      <c r="BQ42" s="1325"/>
      <c r="BR42" s="1325"/>
      <c r="BS42" s="1325"/>
      <c r="BT42" s="1325"/>
      <c r="BU42" s="1325"/>
      <c r="BV42" s="1325"/>
      <c r="BW42" s="1325"/>
      <c r="BX42" s="1325"/>
      <c r="BY42" s="1325"/>
      <c r="BZ42" s="1325"/>
      <c r="CA42" s="1325"/>
      <c r="CB42" s="1325"/>
      <c r="CC42" s="1325"/>
      <c r="CD42" s="1325"/>
      <c r="CE42" s="1325"/>
      <c r="CF42" s="1325"/>
      <c r="CG42" s="1325"/>
      <c r="CH42" s="1325"/>
      <c r="CI42" s="1325"/>
      <c r="CJ42" s="1325"/>
      <c r="CK42" s="1325"/>
      <c r="CL42" s="1325"/>
      <c r="CM42" s="1325"/>
      <c r="CN42" s="1325"/>
      <c r="CO42" s="1325"/>
      <c r="CP42" s="1325"/>
      <c r="CQ42" s="1325"/>
      <c r="CR42" s="1325"/>
      <c r="CS42" s="1325"/>
      <c r="CT42" s="1325"/>
      <c r="CU42" s="1325"/>
      <c r="CV42" s="1325"/>
      <c r="CW42" s="1325"/>
      <c r="CX42" s="1325"/>
      <c r="CY42" s="1325"/>
      <c r="CZ42" s="1325"/>
      <c r="DA42" s="1325"/>
      <c r="DB42" s="1325"/>
      <c r="DC42" s="1325"/>
      <c r="DD42" s="1325"/>
      <c r="DE42" s="1325"/>
      <c r="DF42" s="1325"/>
      <c r="DG42" s="1325"/>
      <c r="DH42" s="1325"/>
      <c r="DI42" s="1325"/>
      <c r="DJ42" s="1325"/>
      <c r="DK42" s="1325"/>
      <c r="DL42" s="1325"/>
      <c r="DM42" s="1325"/>
      <c r="DN42" s="1325"/>
      <c r="DO42" s="1325"/>
      <c r="DP42" s="1325"/>
      <c r="DQ42" s="1325"/>
      <c r="DR42" s="1325"/>
      <c r="DS42" s="1325"/>
      <c r="DT42" s="1325"/>
      <c r="DU42" s="1325"/>
      <c r="DV42" s="1325"/>
      <c r="DW42" s="1325"/>
      <c r="DX42" s="1325"/>
      <c r="DY42" s="1325"/>
      <c r="DZ42" s="1325"/>
      <c r="EA42" s="1325"/>
      <c r="EB42" s="1325"/>
      <c r="EC42" s="1325"/>
      <c r="ED42" s="1325"/>
      <c r="EE42" s="1325"/>
      <c r="EF42" s="1325"/>
      <c r="EG42" s="1325"/>
      <c r="EH42" s="1325"/>
      <c r="EI42" s="1325"/>
      <c r="EJ42" s="1325"/>
      <c r="EK42" s="1325"/>
      <c r="EL42" s="1325"/>
      <c r="EM42" s="1325"/>
      <c r="EN42" s="1325"/>
      <c r="EO42" s="1325"/>
      <c r="EP42" s="1325"/>
      <c r="EQ42" s="1325"/>
      <c r="ER42" s="1325"/>
      <c r="ES42" s="1325"/>
      <c r="ET42" s="1325"/>
      <c r="EU42" s="1325"/>
      <c r="EV42" s="1325"/>
      <c r="EW42" s="1325"/>
      <c r="EX42" s="1325"/>
      <c r="EY42" s="1325"/>
      <c r="EZ42" s="1325"/>
      <c r="FA42" s="1325"/>
      <c r="FB42" s="1325"/>
      <c r="FC42" s="1325"/>
      <c r="FD42" s="1325"/>
      <c r="FE42" s="1325"/>
      <c r="FF42" s="1325"/>
      <c r="FG42" s="1325"/>
      <c r="FH42" s="1325"/>
      <c r="FI42" s="1325"/>
      <c r="FJ42" s="1325"/>
      <c r="FK42" s="1325"/>
      <c r="FL42" s="1325"/>
      <c r="FM42" s="1325"/>
      <c r="FN42" s="1325"/>
      <c r="FO42" s="1325"/>
      <c r="FP42" s="1325"/>
      <c r="FQ42" s="1325"/>
      <c r="FR42" s="1325"/>
      <c r="FS42" s="1325"/>
      <c r="FT42" s="1325"/>
      <c r="FU42" s="1325"/>
      <c r="FV42" s="1325"/>
      <c r="FW42" s="1325"/>
      <c r="FX42" s="1325"/>
      <c r="FY42" s="1325"/>
      <c r="FZ42" s="1325"/>
      <c r="GA42" s="1325"/>
      <c r="GB42" s="1325"/>
      <c r="GC42" s="1325"/>
      <c r="GD42" s="1325"/>
      <c r="GE42" s="1325"/>
      <c r="GF42" s="1325"/>
      <c r="GG42" s="1325"/>
      <c r="GH42" s="1325"/>
      <c r="GI42" s="1325"/>
      <c r="GJ42" s="1325"/>
      <c r="GK42" s="1325"/>
      <c r="GL42" s="1325"/>
      <c r="GM42" s="1325"/>
      <c r="GN42" s="1325"/>
      <c r="GO42" s="1325"/>
      <c r="GP42" s="1325"/>
      <c r="GQ42" s="1325"/>
      <c r="GR42" s="1325"/>
      <c r="GS42" s="1325"/>
      <c r="GT42" s="1325"/>
      <c r="GU42" s="1325"/>
      <c r="GV42" s="1325"/>
      <c r="GW42" s="1325"/>
      <c r="GX42" s="1325"/>
      <c r="GY42" s="1325"/>
      <c r="GZ42" s="1325"/>
      <c r="HA42" s="1325"/>
      <c r="HB42" s="1325"/>
      <c r="HC42" s="1325"/>
      <c r="HD42" s="1325"/>
      <c r="HE42" s="1325"/>
      <c r="HF42" s="1325"/>
      <c r="HG42" s="1325"/>
      <c r="HH42" s="1325"/>
      <c r="HI42" s="1325"/>
      <c r="HJ42" s="1325"/>
      <c r="HK42" s="1325"/>
      <c r="HL42" s="1325"/>
      <c r="HM42" s="1325"/>
      <c r="HN42" s="1325"/>
      <c r="HO42" s="1325"/>
      <c r="HP42" s="1325"/>
      <c r="HQ42" s="1325"/>
      <c r="HR42" s="1325"/>
      <c r="HS42" s="1325"/>
      <c r="HT42" s="1325"/>
      <c r="HU42" s="1325"/>
      <c r="HV42" s="1325"/>
      <c r="HW42" s="1325"/>
      <c r="HX42" s="1325"/>
      <c r="HY42" s="1325"/>
      <c r="HZ42" s="1325"/>
      <c r="IA42" s="1325"/>
      <c r="IB42" s="1325"/>
      <c r="IC42" s="1325"/>
      <c r="ID42" s="1325"/>
      <c r="IE42" s="1325"/>
      <c r="IF42" s="1325"/>
      <c r="IG42" s="1325"/>
      <c r="IH42" s="1325"/>
      <c r="II42" s="1325"/>
      <c r="IJ42" s="1325"/>
      <c r="IK42" s="1325"/>
      <c r="IL42" s="1325"/>
      <c r="IM42" s="1325"/>
      <c r="IN42" s="1325"/>
      <c r="IO42" s="1325"/>
      <c r="IP42" s="1325"/>
      <c r="IQ42" s="1325"/>
      <c r="IR42" s="1325"/>
      <c r="IS42" s="1325"/>
      <c r="IT42" s="1325"/>
      <c r="IU42" s="1325"/>
      <c r="IV42" s="1325"/>
    </row>
    <row r="43" spans="1:256" ht="48" customHeight="1">
      <c r="A43" s="1365" t="s">
        <v>828</v>
      </c>
      <c r="B43" s="1366" t="s">
        <v>829</v>
      </c>
      <c r="C43" s="1367"/>
      <c r="D43" s="1367"/>
      <c r="E43" s="1325"/>
      <c r="F43" s="1325"/>
      <c r="G43" s="1325"/>
      <c r="H43" s="1325"/>
      <c r="I43" s="1325"/>
      <c r="J43" s="1325"/>
      <c r="K43" s="1325"/>
      <c r="L43" s="1325"/>
      <c r="M43" s="1325"/>
      <c r="N43" s="1325"/>
      <c r="O43" s="1325"/>
      <c r="P43" s="1325"/>
      <c r="Q43" s="1325"/>
      <c r="R43" s="1325"/>
      <c r="S43" s="1325"/>
      <c r="T43" s="1325"/>
      <c r="U43" s="1325"/>
      <c r="V43" s="1325"/>
      <c r="W43" s="1325"/>
      <c r="X43" s="1325"/>
      <c r="Y43" s="1325"/>
      <c r="Z43" s="1325"/>
      <c r="AA43" s="1325"/>
      <c r="AB43" s="1325"/>
      <c r="AC43" s="1325"/>
      <c r="AD43" s="1325"/>
      <c r="AE43" s="1325"/>
      <c r="AF43" s="1325"/>
      <c r="AG43" s="1325"/>
      <c r="AH43" s="1325"/>
      <c r="AI43" s="1325"/>
      <c r="AJ43" s="1325"/>
      <c r="AK43" s="1325"/>
      <c r="AL43" s="1325"/>
      <c r="AM43" s="1325"/>
      <c r="AN43" s="1325"/>
      <c r="AO43" s="1325"/>
      <c r="AP43" s="1325"/>
      <c r="AQ43" s="1325"/>
      <c r="AR43" s="1325"/>
      <c r="AS43" s="1325"/>
      <c r="AT43" s="1325"/>
      <c r="AU43" s="1325"/>
      <c r="AV43" s="1325"/>
      <c r="AW43" s="1325"/>
      <c r="AX43" s="1325"/>
      <c r="AY43" s="1325"/>
      <c r="AZ43" s="1325"/>
      <c r="BA43" s="1325"/>
      <c r="BB43" s="1325"/>
      <c r="BC43" s="1325"/>
      <c r="BD43" s="1325"/>
      <c r="BE43" s="1325"/>
      <c r="BF43" s="1325"/>
      <c r="BG43" s="1325"/>
      <c r="BH43" s="1325"/>
      <c r="BI43" s="1325"/>
      <c r="BJ43" s="1325"/>
      <c r="BK43" s="1325"/>
      <c r="BL43" s="1325"/>
      <c r="BM43" s="1325"/>
      <c r="BN43" s="1325"/>
      <c r="BO43" s="1325"/>
      <c r="BP43" s="1325"/>
      <c r="BQ43" s="1325"/>
      <c r="BR43" s="1325"/>
      <c r="BS43" s="1325"/>
      <c r="BT43" s="1325"/>
      <c r="BU43" s="1325"/>
      <c r="BV43" s="1325"/>
      <c r="BW43" s="1325"/>
      <c r="BX43" s="1325"/>
      <c r="BY43" s="1325"/>
      <c r="BZ43" s="1325"/>
      <c r="CA43" s="1325"/>
      <c r="CB43" s="1325"/>
      <c r="CC43" s="1325"/>
      <c r="CD43" s="1325"/>
      <c r="CE43" s="1325"/>
      <c r="CF43" s="1325"/>
      <c r="CG43" s="1325"/>
      <c r="CH43" s="1325"/>
      <c r="CI43" s="1325"/>
      <c r="CJ43" s="1325"/>
      <c r="CK43" s="1325"/>
      <c r="CL43" s="1325"/>
      <c r="CM43" s="1325"/>
      <c r="CN43" s="1325"/>
      <c r="CO43" s="1325"/>
      <c r="CP43" s="1325"/>
      <c r="CQ43" s="1325"/>
      <c r="CR43" s="1325"/>
      <c r="CS43" s="1325"/>
      <c r="CT43" s="1325"/>
      <c r="CU43" s="1325"/>
      <c r="CV43" s="1325"/>
      <c r="CW43" s="1325"/>
      <c r="CX43" s="1325"/>
      <c r="CY43" s="1325"/>
      <c r="CZ43" s="1325"/>
      <c r="DA43" s="1325"/>
      <c r="DB43" s="1325"/>
      <c r="DC43" s="1325"/>
      <c r="DD43" s="1325"/>
      <c r="DE43" s="1325"/>
      <c r="DF43" s="1325"/>
      <c r="DG43" s="1325"/>
      <c r="DH43" s="1325"/>
      <c r="DI43" s="1325"/>
      <c r="DJ43" s="1325"/>
      <c r="DK43" s="1325"/>
      <c r="DL43" s="1325"/>
      <c r="DM43" s="1325"/>
      <c r="DN43" s="1325"/>
      <c r="DO43" s="1325"/>
      <c r="DP43" s="1325"/>
      <c r="DQ43" s="1325"/>
      <c r="DR43" s="1325"/>
      <c r="DS43" s="1325"/>
      <c r="DT43" s="1325"/>
      <c r="DU43" s="1325"/>
      <c r="DV43" s="1325"/>
      <c r="DW43" s="1325"/>
      <c r="DX43" s="1325"/>
      <c r="DY43" s="1325"/>
      <c r="DZ43" s="1325"/>
      <c r="EA43" s="1325"/>
      <c r="EB43" s="1325"/>
      <c r="EC43" s="1325"/>
      <c r="ED43" s="1325"/>
      <c r="EE43" s="1325"/>
      <c r="EF43" s="1325"/>
      <c r="EG43" s="1325"/>
      <c r="EH43" s="1325"/>
      <c r="EI43" s="1325"/>
      <c r="EJ43" s="1325"/>
      <c r="EK43" s="1325"/>
      <c r="EL43" s="1325"/>
      <c r="EM43" s="1325"/>
      <c r="EN43" s="1325"/>
      <c r="EO43" s="1325"/>
      <c r="EP43" s="1325"/>
      <c r="EQ43" s="1325"/>
      <c r="ER43" s="1325"/>
      <c r="ES43" s="1325"/>
      <c r="ET43" s="1325"/>
      <c r="EU43" s="1325"/>
      <c r="EV43" s="1325"/>
      <c r="EW43" s="1325"/>
      <c r="EX43" s="1325"/>
      <c r="EY43" s="1325"/>
      <c r="EZ43" s="1325"/>
      <c r="FA43" s="1325"/>
      <c r="FB43" s="1325"/>
      <c r="FC43" s="1325"/>
      <c r="FD43" s="1325"/>
      <c r="FE43" s="1325"/>
      <c r="FF43" s="1325"/>
      <c r="FG43" s="1325"/>
      <c r="FH43" s="1325"/>
      <c r="FI43" s="1325"/>
      <c r="FJ43" s="1325"/>
      <c r="FK43" s="1325"/>
      <c r="FL43" s="1325"/>
      <c r="FM43" s="1325"/>
      <c r="FN43" s="1325"/>
      <c r="FO43" s="1325"/>
      <c r="FP43" s="1325"/>
      <c r="FQ43" s="1325"/>
      <c r="FR43" s="1325"/>
      <c r="FS43" s="1325"/>
      <c r="FT43" s="1325"/>
      <c r="FU43" s="1325"/>
      <c r="FV43" s="1325"/>
      <c r="FW43" s="1325"/>
      <c r="FX43" s="1325"/>
      <c r="FY43" s="1325"/>
      <c r="FZ43" s="1325"/>
      <c r="GA43" s="1325"/>
      <c r="GB43" s="1325"/>
      <c r="GC43" s="1325"/>
      <c r="GD43" s="1325"/>
      <c r="GE43" s="1325"/>
      <c r="GF43" s="1325"/>
      <c r="GG43" s="1325"/>
      <c r="GH43" s="1325"/>
      <c r="GI43" s="1325"/>
      <c r="GJ43" s="1325"/>
      <c r="GK43" s="1325"/>
      <c r="GL43" s="1325"/>
      <c r="GM43" s="1325"/>
      <c r="GN43" s="1325"/>
      <c r="GO43" s="1325"/>
      <c r="GP43" s="1325"/>
      <c r="GQ43" s="1325"/>
      <c r="GR43" s="1325"/>
      <c r="GS43" s="1325"/>
      <c r="GT43" s="1325"/>
      <c r="GU43" s="1325"/>
      <c r="GV43" s="1325"/>
      <c r="GW43" s="1325"/>
      <c r="GX43" s="1325"/>
      <c r="GY43" s="1325"/>
      <c r="GZ43" s="1325"/>
      <c r="HA43" s="1325"/>
      <c r="HB43" s="1325"/>
      <c r="HC43" s="1325"/>
      <c r="HD43" s="1325"/>
      <c r="HE43" s="1325"/>
      <c r="HF43" s="1325"/>
      <c r="HG43" s="1325"/>
      <c r="HH43" s="1325"/>
      <c r="HI43" s="1325"/>
      <c r="HJ43" s="1325"/>
      <c r="HK43" s="1325"/>
      <c r="HL43" s="1325"/>
      <c r="HM43" s="1325"/>
      <c r="HN43" s="1325"/>
      <c r="HO43" s="1325"/>
      <c r="HP43" s="1325"/>
      <c r="HQ43" s="1325"/>
      <c r="HR43" s="1325"/>
      <c r="HS43" s="1325"/>
      <c r="HT43" s="1325"/>
      <c r="HU43" s="1325"/>
      <c r="HV43" s="1325"/>
      <c r="HW43" s="1325"/>
      <c r="HX43" s="1325"/>
      <c r="HY43" s="1325"/>
      <c r="HZ43" s="1325"/>
      <c r="IA43" s="1325"/>
      <c r="IB43" s="1325"/>
      <c r="IC43" s="1325"/>
      <c r="ID43" s="1325"/>
      <c r="IE43" s="1325"/>
      <c r="IF43" s="1325"/>
      <c r="IG43" s="1325"/>
      <c r="IH43" s="1325"/>
      <c r="II43" s="1325"/>
      <c r="IJ43" s="1325"/>
      <c r="IK43" s="1325"/>
      <c r="IL43" s="1325"/>
      <c r="IM43" s="1325"/>
      <c r="IN43" s="1325"/>
      <c r="IO43" s="1325"/>
      <c r="IP43" s="1325"/>
      <c r="IQ43" s="1325"/>
      <c r="IR43" s="1325"/>
      <c r="IS43" s="1325"/>
      <c r="IT43" s="1325"/>
      <c r="IU43" s="1325"/>
      <c r="IV43" s="1325"/>
    </row>
    <row r="44" spans="1:256" ht="48" customHeight="1">
      <c r="A44" s="1368" t="s">
        <v>830</v>
      </c>
      <c r="B44" s="1369" t="s">
        <v>831</v>
      </c>
      <c r="C44" s="1372"/>
      <c r="D44" s="1372"/>
      <c r="E44" s="1325"/>
      <c r="F44" s="1325"/>
      <c r="G44" s="1325"/>
      <c r="H44" s="1325"/>
      <c r="I44" s="1325"/>
      <c r="J44" s="1325"/>
      <c r="K44" s="1325"/>
      <c r="L44" s="1325"/>
      <c r="M44" s="1325"/>
      <c r="N44" s="1325"/>
      <c r="O44" s="1325"/>
      <c r="P44" s="1325"/>
      <c r="Q44" s="1325"/>
      <c r="R44" s="1325"/>
      <c r="S44" s="1325"/>
      <c r="T44" s="1325"/>
      <c r="U44" s="1325"/>
      <c r="V44" s="1325"/>
      <c r="W44" s="1325"/>
      <c r="X44" s="1325"/>
      <c r="Y44" s="1325"/>
      <c r="Z44" s="1325"/>
      <c r="AA44" s="1325"/>
      <c r="AB44" s="1325"/>
      <c r="AC44" s="1325"/>
      <c r="AD44" s="1325"/>
      <c r="AE44" s="1325"/>
      <c r="AF44" s="1325"/>
      <c r="AG44" s="1325"/>
      <c r="AH44" s="1325"/>
      <c r="AI44" s="1325"/>
      <c r="AJ44" s="1325"/>
      <c r="AK44" s="1325"/>
      <c r="AL44" s="1325"/>
      <c r="AM44" s="1325"/>
      <c r="AN44" s="1325"/>
      <c r="AO44" s="1325"/>
      <c r="AP44" s="1325"/>
      <c r="AQ44" s="1325"/>
      <c r="AR44" s="1325"/>
      <c r="AS44" s="1325"/>
      <c r="AT44" s="1325"/>
      <c r="AU44" s="1325"/>
      <c r="AV44" s="1325"/>
      <c r="AW44" s="1325"/>
      <c r="AX44" s="1325"/>
      <c r="AY44" s="1325"/>
      <c r="AZ44" s="1325"/>
      <c r="BA44" s="1325"/>
      <c r="BB44" s="1325"/>
      <c r="BC44" s="1325"/>
      <c r="BD44" s="1325"/>
      <c r="BE44" s="1325"/>
      <c r="BF44" s="1325"/>
      <c r="BG44" s="1325"/>
      <c r="BH44" s="1325"/>
      <c r="BI44" s="1325"/>
      <c r="BJ44" s="1325"/>
      <c r="BK44" s="1325"/>
      <c r="BL44" s="1325"/>
      <c r="BM44" s="1325"/>
      <c r="BN44" s="1325"/>
      <c r="BO44" s="1325"/>
      <c r="BP44" s="1325"/>
      <c r="BQ44" s="1325"/>
      <c r="BR44" s="1325"/>
      <c r="BS44" s="1325"/>
      <c r="BT44" s="1325"/>
      <c r="BU44" s="1325"/>
      <c r="BV44" s="1325"/>
      <c r="BW44" s="1325"/>
      <c r="BX44" s="1325"/>
      <c r="BY44" s="1325"/>
      <c r="BZ44" s="1325"/>
      <c r="CA44" s="1325"/>
      <c r="CB44" s="1325"/>
      <c r="CC44" s="1325"/>
      <c r="CD44" s="1325"/>
      <c r="CE44" s="1325"/>
      <c r="CF44" s="1325"/>
      <c r="CG44" s="1325"/>
      <c r="CH44" s="1325"/>
      <c r="CI44" s="1325"/>
      <c r="CJ44" s="1325"/>
      <c r="CK44" s="1325"/>
      <c r="CL44" s="1325"/>
      <c r="CM44" s="1325"/>
      <c r="CN44" s="1325"/>
      <c r="CO44" s="1325"/>
      <c r="CP44" s="1325"/>
      <c r="CQ44" s="1325"/>
      <c r="CR44" s="1325"/>
      <c r="CS44" s="1325"/>
      <c r="CT44" s="1325"/>
      <c r="CU44" s="1325"/>
      <c r="CV44" s="1325"/>
      <c r="CW44" s="1325"/>
      <c r="CX44" s="1325"/>
      <c r="CY44" s="1325"/>
      <c r="CZ44" s="1325"/>
      <c r="DA44" s="1325"/>
      <c r="DB44" s="1325"/>
      <c r="DC44" s="1325"/>
      <c r="DD44" s="1325"/>
      <c r="DE44" s="1325"/>
      <c r="DF44" s="1325"/>
      <c r="DG44" s="1325"/>
      <c r="DH44" s="1325"/>
      <c r="DI44" s="1325"/>
      <c r="DJ44" s="1325"/>
      <c r="DK44" s="1325"/>
      <c r="DL44" s="1325"/>
      <c r="DM44" s="1325"/>
      <c r="DN44" s="1325"/>
      <c r="DO44" s="1325"/>
      <c r="DP44" s="1325"/>
      <c r="DQ44" s="1325"/>
      <c r="DR44" s="1325"/>
      <c r="DS44" s="1325"/>
      <c r="DT44" s="1325"/>
      <c r="DU44" s="1325"/>
      <c r="DV44" s="1325"/>
      <c r="DW44" s="1325"/>
      <c r="DX44" s="1325"/>
      <c r="DY44" s="1325"/>
      <c r="DZ44" s="1325"/>
      <c r="EA44" s="1325"/>
      <c r="EB44" s="1325"/>
      <c r="EC44" s="1325"/>
      <c r="ED44" s="1325"/>
      <c r="EE44" s="1325"/>
      <c r="EF44" s="1325"/>
      <c r="EG44" s="1325"/>
      <c r="EH44" s="1325"/>
      <c r="EI44" s="1325"/>
      <c r="EJ44" s="1325"/>
      <c r="EK44" s="1325"/>
      <c r="EL44" s="1325"/>
      <c r="EM44" s="1325"/>
      <c r="EN44" s="1325"/>
      <c r="EO44" s="1325"/>
      <c r="EP44" s="1325"/>
      <c r="EQ44" s="1325"/>
      <c r="ER44" s="1325"/>
      <c r="ES44" s="1325"/>
      <c r="ET44" s="1325"/>
      <c r="EU44" s="1325"/>
      <c r="EV44" s="1325"/>
      <c r="EW44" s="1325"/>
      <c r="EX44" s="1325"/>
      <c r="EY44" s="1325"/>
      <c r="EZ44" s="1325"/>
      <c r="FA44" s="1325"/>
      <c r="FB44" s="1325"/>
      <c r="FC44" s="1325"/>
      <c r="FD44" s="1325"/>
      <c r="FE44" s="1325"/>
      <c r="FF44" s="1325"/>
      <c r="FG44" s="1325"/>
      <c r="FH44" s="1325"/>
      <c r="FI44" s="1325"/>
      <c r="FJ44" s="1325"/>
      <c r="FK44" s="1325"/>
      <c r="FL44" s="1325"/>
      <c r="FM44" s="1325"/>
      <c r="FN44" s="1325"/>
      <c r="FO44" s="1325"/>
      <c r="FP44" s="1325"/>
      <c r="FQ44" s="1325"/>
      <c r="FR44" s="1325"/>
      <c r="FS44" s="1325"/>
      <c r="FT44" s="1325"/>
      <c r="FU44" s="1325"/>
      <c r="FV44" s="1325"/>
      <c r="FW44" s="1325"/>
      <c r="FX44" s="1325"/>
      <c r="FY44" s="1325"/>
      <c r="FZ44" s="1325"/>
      <c r="GA44" s="1325"/>
      <c r="GB44" s="1325"/>
      <c r="GC44" s="1325"/>
      <c r="GD44" s="1325"/>
      <c r="GE44" s="1325"/>
      <c r="GF44" s="1325"/>
      <c r="GG44" s="1325"/>
      <c r="GH44" s="1325"/>
      <c r="GI44" s="1325"/>
      <c r="GJ44" s="1325"/>
      <c r="GK44" s="1325"/>
      <c r="GL44" s="1325"/>
      <c r="GM44" s="1325"/>
      <c r="GN44" s="1325"/>
      <c r="GO44" s="1325"/>
      <c r="GP44" s="1325"/>
      <c r="GQ44" s="1325"/>
      <c r="GR44" s="1325"/>
      <c r="GS44" s="1325"/>
      <c r="GT44" s="1325"/>
      <c r="GU44" s="1325"/>
      <c r="GV44" s="1325"/>
      <c r="GW44" s="1325"/>
      <c r="GX44" s="1325"/>
      <c r="GY44" s="1325"/>
      <c r="GZ44" s="1325"/>
      <c r="HA44" s="1325"/>
      <c r="HB44" s="1325"/>
      <c r="HC44" s="1325"/>
      <c r="HD44" s="1325"/>
      <c r="HE44" s="1325"/>
      <c r="HF44" s="1325"/>
      <c r="HG44" s="1325"/>
      <c r="HH44" s="1325"/>
      <c r="HI44" s="1325"/>
      <c r="HJ44" s="1325"/>
      <c r="HK44" s="1325"/>
      <c r="HL44" s="1325"/>
      <c r="HM44" s="1325"/>
      <c r="HN44" s="1325"/>
      <c r="HO44" s="1325"/>
      <c r="HP44" s="1325"/>
      <c r="HQ44" s="1325"/>
      <c r="HR44" s="1325"/>
      <c r="HS44" s="1325"/>
      <c r="HT44" s="1325"/>
      <c r="HU44" s="1325"/>
      <c r="HV44" s="1325"/>
      <c r="HW44" s="1325"/>
      <c r="HX44" s="1325"/>
      <c r="HY44" s="1325"/>
      <c r="HZ44" s="1325"/>
      <c r="IA44" s="1325"/>
      <c r="IB44" s="1325"/>
      <c r="IC44" s="1325"/>
      <c r="ID44" s="1325"/>
      <c r="IE44" s="1325"/>
      <c r="IF44" s="1325"/>
      <c r="IG44" s="1325"/>
      <c r="IH44" s="1325"/>
      <c r="II44" s="1325"/>
      <c r="IJ44" s="1325"/>
      <c r="IK44" s="1325"/>
      <c r="IL44" s="1325"/>
      <c r="IM44" s="1325"/>
      <c r="IN44" s="1325"/>
      <c r="IO44" s="1325"/>
      <c r="IP44" s="1325"/>
      <c r="IQ44" s="1325"/>
      <c r="IR44" s="1325"/>
      <c r="IS44" s="1325"/>
      <c r="IT44" s="1325"/>
      <c r="IU44" s="1325"/>
      <c r="IV44" s="1325"/>
    </row>
    <row r="45" spans="1:256" ht="48" customHeight="1">
      <c r="A45" s="1365" t="s">
        <v>832</v>
      </c>
      <c r="B45" s="1366" t="s">
        <v>833</v>
      </c>
      <c r="C45" s="1367"/>
      <c r="D45" s="1367"/>
      <c r="E45" s="1325"/>
      <c r="F45" s="1325"/>
      <c r="G45" s="1325"/>
      <c r="H45" s="1325"/>
      <c r="I45" s="1325"/>
      <c r="J45" s="1325"/>
      <c r="K45" s="1325"/>
      <c r="L45" s="1325"/>
      <c r="M45" s="1325"/>
      <c r="N45" s="1325"/>
      <c r="O45" s="1325"/>
      <c r="P45" s="1325"/>
      <c r="Q45" s="1325"/>
      <c r="R45" s="1325"/>
      <c r="S45" s="1325"/>
      <c r="T45" s="1325"/>
      <c r="U45" s="1325"/>
      <c r="V45" s="1325"/>
      <c r="W45" s="1325"/>
      <c r="X45" s="1325"/>
      <c r="Y45" s="1325"/>
      <c r="Z45" s="1325"/>
      <c r="AA45" s="1325"/>
      <c r="AB45" s="1325"/>
      <c r="AC45" s="1325"/>
      <c r="AD45" s="1325"/>
      <c r="AE45" s="1325"/>
      <c r="AF45" s="1325"/>
      <c r="AG45" s="1325"/>
      <c r="AH45" s="1325"/>
      <c r="AI45" s="1325"/>
      <c r="AJ45" s="1325"/>
      <c r="AK45" s="1325"/>
      <c r="AL45" s="1325"/>
      <c r="AM45" s="1325"/>
      <c r="AN45" s="1325"/>
      <c r="AO45" s="1325"/>
      <c r="AP45" s="1325"/>
      <c r="AQ45" s="1325"/>
      <c r="AR45" s="1325"/>
      <c r="AS45" s="1325"/>
      <c r="AT45" s="1325"/>
      <c r="AU45" s="1325"/>
      <c r="AV45" s="1325"/>
      <c r="AW45" s="1325"/>
      <c r="AX45" s="1325"/>
      <c r="AY45" s="1325"/>
      <c r="AZ45" s="1325"/>
      <c r="BA45" s="1325"/>
      <c r="BB45" s="1325"/>
      <c r="BC45" s="1325"/>
      <c r="BD45" s="1325"/>
      <c r="BE45" s="1325"/>
      <c r="BF45" s="1325"/>
      <c r="BG45" s="1325"/>
      <c r="BH45" s="1325"/>
      <c r="BI45" s="1325"/>
      <c r="BJ45" s="1325"/>
      <c r="BK45" s="1325"/>
      <c r="BL45" s="1325"/>
      <c r="BM45" s="1325"/>
      <c r="BN45" s="1325"/>
      <c r="BO45" s="1325"/>
      <c r="BP45" s="1325"/>
      <c r="BQ45" s="1325"/>
      <c r="BR45" s="1325"/>
      <c r="BS45" s="1325"/>
      <c r="BT45" s="1325"/>
      <c r="BU45" s="1325"/>
      <c r="BV45" s="1325"/>
      <c r="BW45" s="1325"/>
      <c r="BX45" s="1325"/>
      <c r="BY45" s="1325"/>
      <c r="BZ45" s="1325"/>
      <c r="CA45" s="1325"/>
      <c r="CB45" s="1325"/>
      <c r="CC45" s="1325"/>
      <c r="CD45" s="1325"/>
      <c r="CE45" s="1325"/>
      <c r="CF45" s="1325"/>
      <c r="CG45" s="1325"/>
      <c r="CH45" s="1325"/>
      <c r="CI45" s="1325"/>
      <c r="CJ45" s="1325"/>
      <c r="CK45" s="1325"/>
      <c r="CL45" s="1325"/>
      <c r="CM45" s="1325"/>
      <c r="CN45" s="1325"/>
      <c r="CO45" s="1325"/>
      <c r="CP45" s="1325"/>
      <c r="CQ45" s="1325"/>
      <c r="CR45" s="1325"/>
      <c r="CS45" s="1325"/>
      <c r="CT45" s="1325"/>
      <c r="CU45" s="1325"/>
      <c r="CV45" s="1325"/>
      <c r="CW45" s="1325"/>
      <c r="CX45" s="1325"/>
      <c r="CY45" s="1325"/>
      <c r="CZ45" s="1325"/>
      <c r="DA45" s="1325"/>
      <c r="DB45" s="1325"/>
      <c r="DC45" s="1325"/>
      <c r="DD45" s="1325"/>
      <c r="DE45" s="1325"/>
      <c r="DF45" s="1325"/>
      <c r="DG45" s="1325"/>
      <c r="DH45" s="1325"/>
      <c r="DI45" s="1325"/>
      <c r="DJ45" s="1325"/>
      <c r="DK45" s="1325"/>
      <c r="DL45" s="1325"/>
      <c r="DM45" s="1325"/>
      <c r="DN45" s="1325"/>
      <c r="DO45" s="1325"/>
      <c r="DP45" s="1325"/>
      <c r="DQ45" s="1325"/>
      <c r="DR45" s="1325"/>
      <c r="DS45" s="1325"/>
      <c r="DT45" s="1325"/>
      <c r="DU45" s="1325"/>
      <c r="DV45" s="1325"/>
      <c r="DW45" s="1325"/>
      <c r="DX45" s="1325"/>
      <c r="DY45" s="1325"/>
      <c r="DZ45" s="1325"/>
      <c r="EA45" s="1325"/>
      <c r="EB45" s="1325"/>
      <c r="EC45" s="1325"/>
      <c r="ED45" s="1325"/>
      <c r="EE45" s="1325"/>
      <c r="EF45" s="1325"/>
      <c r="EG45" s="1325"/>
      <c r="EH45" s="1325"/>
      <c r="EI45" s="1325"/>
      <c r="EJ45" s="1325"/>
      <c r="EK45" s="1325"/>
      <c r="EL45" s="1325"/>
      <c r="EM45" s="1325"/>
      <c r="EN45" s="1325"/>
      <c r="EO45" s="1325"/>
      <c r="EP45" s="1325"/>
      <c r="EQ45" s="1325"/>
      <c r="ER45" s="1325"/>
      <c r="ES45" s="1325"/>
      <c r="ET45" s="1325"/>
      <c r="EU45" s="1325"/>
      <c r="EV45" s="1325"/>
      <c r="EW45" s="1325"/>
      <c r="EX45" s="1325"/>
      <c r="EY45" s="1325"/>
      <c r="EZ45" s="1325"/>
      <c r="FA45" s="1325"/>
      <c r="FB45" s="1325"/>
      <c r="FC45" s="1325"/>
      <c r="FD45" s="1325"/>
      <c r="FE45" s="1325"/>
      <c r="FF45" s="1325"/>
      <c r="FG45" s="1325"/>
      <c r="FH45" s="1325"/>
      <c r="FI45" s="1325"/>
      <c r="FJ45" s="1325"/>
      <c r="FK45" s="1325"/>
      <c r="FL45" s="1325"/>
      <c r="FM45" s="1325"/>
      <c r="FN45" s="1325"/>
      <c r="FO45" s="1325"/>
      <c r="FP45" s="1325"/>
      <c r="FQ45" s="1325"/>
      <c r="FR45" s="1325"/>
      <c r="FS45" s="1325"/>
      <c r="FT45" s="1325"/>
      <c r="FU45" s="1325"/>
      <c r="FV45" s="1325"/>
      <c r="FW45" s="1325"/>
      <c r="FX45" s="1325"/>
      <c r="FY45" s="1325"/>
      <c r="FZ45" s="1325"/>
      <c r="GA45" s="1325"/>
      <c r="GB45" s="1325"/>
      <c r="GC45" s="1325"/>
      <c r="GD45" s="1325"/>
      <c r="GE45" s="1325"/>
      <c r="GF45" s="1325"/>
      <c r="GG45" s="1325"/>
      <c r="GH45" s="1325"/>
      <c r="GI45" s="1325"/>
      <c r="GJ45" s="1325"/>
      <c r="GK45" s="1325"/>
      <c r="GL45" s="1325"/>
      <c r="GM45" s="1325"/>
      <c r="GN45" s="1325"/>
      <c r="GO45" s="1325"/>
      <c r="GP45" s="1325"/>
      <c r="GQ45" s="1325"/>
      <c r="GR45" s="1325"/>
      <c r="GS45" s="1325"/>
      <c r="GT45" s="1325"/>
      <c r="GU45" s="1325"/>
      <c r="GV45" s="1325"/>
      <c r="GW45" s="1325"/>
      <c r="GX45" s="1325"/>
      <c r="GY45" s="1325"/>
      <c r="GZ45" s="1325"/>
      <c r="HA45" s="1325"/>
      <c r="HB45" s="1325"/>
      <c r="HC45" s="1325"/>
      <c r="HD45" s="1325"/>
      <c r="HE45" s="1325"/>
      <c r="HF45" s="1325"/>
      <c r="HG45" s="1325"/>
      <c r="HH45" s="1325"/>
      <c r="HI45" s="1325"/>
      <c r="HJ45" s="1325"/>
      <c r="HK45" s="1325"/>
      <c r="HL45" s="1325"/>
      <c r="HM45" s="1325"/>
      <c r="HN45" s="1325"/>
      <c r="HO45" s="1325"/>
      <c r="HP45" s="1325"/>
      <c r="HQ45" s="1325"/>
      <c r="HR45" s="1325"/>
      <c r="HS45" s="1325"/>
      <c r="HT45" s="1325"/>
      <c r="HU45" s="1325"/>
      <c r="HV45" s="1325"/>
      <c r="HW45" s="1325"/>
      <c r="HX45" s="1325"/>
      <c r="HY45" s="1325"/>
      <c r="HZ45" s="1325"/>
      <c r="IA45" s="1325"/>
      <c r="IB45" s="1325"/>
      <c r="IC45" s="1325"/>
      <c r="ID45" s="1325"/>
      <c r="IE45" s="1325"/>
      <c r="IF45" s="1325"/>
      <c r="IG45" s="1325"/>
      <c r="IH45" s="1325"/>
      <c r="II45" s="1325"/>
      <c r="IJ45" s="1325"/>
      <c r="IK45" s="1325"/>
      <c r="IL45" s="1325"/>
      <c r="IM45" s="1325"/>
      <c r="IN45" s="1325"/>
      <c r="IO45" s="1325"/>
      <c r="IP45" s="1325"/>
      <c r="IQ45" s="1325"/>
      <c r="IR45" s="1325"/>
      <c r="IS45" s="1325"/>
      <c r="IT45" s="1325"/>
      <c r="IU45" s="1325"/>
      <c r="IV45" s="1325"/>
    </row>
    <row r="46" spans="1:256" ht="48" customHeight="1">
      <c r="A46" s="1365" t="s">
        <v>834</v>
      </c>
      <c r="B46" s="1366" t="s">
        <v>835</v>
      </c>
      <c r="C46" s="1367"/>
      <c r="D46" s="1367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325"/>
      <c r="AG46" s="1325"/>
      <c r="AH46" s="1325"/>
      <c r="AI46" s="1325"/>
      <c r="AJ46" s="1325"/>
      <c r="AK46" s="1325"/>
      <c r="AL46" s="1325"/>
      <c r="AM46" s="1325"/>
      <c r="AN46" s="1325"/>
      <c r="AO46" s="1325"/>
      <c r="AP46" s="1325"/>
      <c r="AQ46" s="1325"/>
      <c r="AR46" s="1325"/>
      <c r="AS46" s="1325"/>
      <c r="AT46" s="1325"/>
      <c r="AU46" s="1325"/>
      <c r="AV46" s="1325"/>
      <c r="AW46" s="1325"/>
      <c r="AX46" s="1325"/>
      <c r="AY46" s="1325"/>
      <c r="AZ46" s="1325"/>
      <c r="BA46" s="1325"/>
      <c r="BB46" s="1325"/>
      <c r="BC46" s="1325"/>
      <c r="BD46" s="1325"/>
      <c r="BE46" s="1325"/>
      <c r="BF46" s="1325"/>
      <c r="BG46" s="1325"/>
      <c r="BH46" s="1325"/>
      <c r="BI46" s="1325"/>
      <c r="BJ46" s="1325"/>
      <c r="BK46" s="1325"/>
      <c r="BL46" s="1325"/>
      <c r="BM46" s="1325"/>
      <c r="BN46" s="1325"/>
      <c r="BO46" s="1325"/>
      <c r="BP46" s="1325"/>
      <c r="BQ46" s="1325"/>
      <c r="BR46" s="1325"/>
      <c r="BS46" s="1325"/>
      <c r="BT46" s="1325"/>
      <c r="BU46" s="1325"/>
      <c r="BV46" s="1325"/>
      <c r="BW46" s="1325"/>
      <c r="BX46" s="1325"/>
      <c r="BY46" s="1325"/>
      <c r="BZ46" s="1325"/>
      <c r="CA46" s="1325"/>
      <c r="CB46" s="1325"/>
      <c r="CC46" s="1325"/>
      <c r="CD46" s="1325"/>
      <c r="CE46" s="1325"/>
      <c r="CF46" s="1325"/>
      <c r="CG46" s="1325"/>
      <c r="CH46" s="1325"/>
      <c r="CI46" s="1325"/>
      <c r="CJ46" s="1325"/>
      <c r="CK46" s="1325"/>
      <c r="CL46" s="1325"/>
      <c r="CM46" s="1325"/>
      <c r="CN46" s="1325"/>
      <c r="CO46" s="1325"/>
      <c r="CP46" s="1325"/>
      <c r="CQ46" s="1325"/>
      <c r="CR46" s="1325"/>
      <c r="CS46" s="1325"/>
      <c r="CT46" s="1325"/>
      <c r="CU46" s="1325"/>
      <c r="CV46" s="1325"/>
      <c r="CW46" s="1325"/>
      <c r="CX46" s="1325"/>
      <c r="CY46" s="1325"/>
      <c r="CZ46" s="1325"/>
      <c r="DA46" s="1325"/>
      <c r="DB46" s="1325"/>
      <c r="DC46" s="1325"/>
      <c r="DD46" s="1325"/>
      <c r="DE46" s="1325"/>
      <c r="DF46" s="1325"/>
      <c r="DG46" s="1325"/>
      <c r="DH46" s="1325"/>
      <c r="DI46" s="1325"/>
      <c r="DJ46" s="1325"/>
      <c r="DK46" s="1325"/>
      <c r="DL46" s="1325"/>
      <c r="DM46" s="1325"/>
      <c r="DN46" s="1325"/>
      <c r="DO46" s="1325"/>
      <c r="DP46" s="1325"/>
      <c r="DQ46" s="1325"/>
      <c r="DR46" s="1325"/>
      <c r="DS46" s="1325"/>
      <c r="DT46" s="1325"/>
      <c r="DU46" s="1325"/>
      <c r="DV46" s="1325"/>
      <c r="DW46" s="1325"/>
      <c r="DX46" s="1325"/>
      <c r="DY46" s="1325"/>
      <c r="DZ46" s="1325"/>
      <c r="EA46" s="1325"/>
      <c r="EB46" s="1325"/>
      <c r="EC46" s="1325"/>
      <c r="ED46" s="1325"/>
      <c r="EE46" s="1325"/>
      <c r="EF46" s="1325"/>
      <c r="EG46" s="1325"/>
      <c r="EH46" s="1325"/>
      <c r="EI46" s="1325"/>
      <c r="EJ46" s="1325"/>
      <c r="EK46" s="1325"/>
      <c r="EL46" s="1325"/>
      <c r="EM46" s="1325"/>
      <c r="EN46" s="1325"/>
      <c r="EO46" s="1325"/>
      <c r="EP46" s="1325"/>
      <c r="EQ46" s="1325"/>
      <c r="ER46" s="1325"/>
      <c r="ES46" s="1325"/>
      <c r="ET46" s="1325"/>
      <c r="EU46" s="1325"/>
      <c r="EV46" s="1325"/>
      <c r="EW46" s="1325"/>
      <c r="EX46" s="1325"/>
      <c r="EY46" s="1325"/>
      <c r="EZ46" s="1325"/>
      <c r="FA46" s="1325"/>
      <c r="FB46" s="1325"/>
      <c r="FC46" s="1325"/>
      <c r="FD46" s="1325"/>
      <c r="FE46" s="1325"/>
      <c r="FF46" s="1325"/>
      <c r="FG46" s="1325"/>
      <c r="FH46" s="1325"/>
      <c r="FI46" s="1325"/>
      <c r="FJ46" s="1325"/>
      <c r="FK46" s="1325"/>
      <c r="FL46" s="1325"/>
      <c r="FM46" s="1325"/>
      <c r="FN46" s="1325"/>
      <c r="FO46" s="1325"/>
      <c r="FP46" s="1325"/>
      <c r="FQ46" s="1325"/>
      <c r="FR46" s="1325"/>
      <c r="FS46" s="1325"/>
      <c r="FT46" s="1325"/>
      <c r="FU46" s="1325"/>
      <c r="FV46" s="1325"/>
      <c r="FW46" s="1325"/>
      <c r="FX46" s="1325"/>
      <c r="FY46" s="1325"/>
      <c r="FZ46" s="1325"/>
      <c r="GA46" s="1325"/>
      <c r="GB46" s="1325"/>
      <c r="GC46" s="1325"/>
      <c r="GD46" s="1325"/>
      <c r="GE46" s="1325"/>
      <c r="GF46" s="1325"/>
      <c r="GG46" s="1325"/>
      <c r="GH46" s="1325"/>
      <c r="GI46" s="1325"/>
      <c r="GJ46" s="1325"/>
      <c r="GK46" s="1325"/>
      <c r="GL46" s="1325"/>
      <c r="GM46" s="1325"/>
      <c r="GN46" s="1325"/>
      <c r="GO46" s="1325"/>
      <c r="GP46" s="1325"/>
      <c r="GQ46" s="1325"/>
      <c r="GR46" s="1325"/>
      <c r="GS46" s="1325"/>
      <c r="GT46" s="1325"/>
      <c r="GU46" s="1325"/>
      <c r="GV46" s="1325"/>
      <c r="GW46" s="1325"/>
      <c r="GX46" s="1325"/>
      <c r="GY46" s="1325"/>
      <c r="GZ46" s="1325"/>
      <c r="HA46" s="1325"/>
      <c r="HB46" s="1325"/>
      <c r="HC46" s="1325"/>
      <c r="HD46" s="1325"/>
      <c r="HE46" s="1325"/>
      <c r="HF46" s="1325"/>
      <c r="HG46" s="1325"/>
      <c r="HH46" s="1325"/>
      <c r="HI46" s="1325"/>
      <c r="HJ46" s="1325"/>
      <c r="HK46" s="1325"/>
      <c r="HL46" s="1325"/>
      <c r="HM46" s="1325"/>
      <c r="HN46" s="1325"/>
      <c r="HO46" s="1325"/>
      <c r="HP46" s="1325"/>
      <c r="HQ46" s="1325"/>
      <c r="HR46" s="1325"/>
      <c r="HS46" s="1325"/>
      <c r="HT46" s="1325"/>
      <c r="HU46" s="1325"/>
      <c r="HV46" s="1325"/>
      <c r="HW46" s="1325"/>
      <c r="HX46" s="1325"/>
      <c r="HY46" s="1325"/>
      <c r="HZ46" s="1325"/>
      <c r="IA46" s="1325"/>
      <c r="IB46" s="1325"/>
      <c r="IC46" s="1325"/>
      <c r="ID46" s="1325"/>
      <c r="IE46" s="1325"/>
      <c r="IF46" s="1325"/>
      <c r="IG46" s="1325"/>
      <c r="IH46" s="1325"/>
      <c r="II46" s="1325"/>
      <c r="IJ46" s="1325"/>
      <c r="IK46" s="1325"/>
      <c r="IL46" s="1325"/>
      <c r="IM46" s="1325"/>
      <c r="IN46" s="1325"/>
      <c r="IO46" s="1325"/>
      <c r="IP46" s="1325"/>
      <c r="IQ46" s="1325"/>
      <c r="IR46" s="1325"/>
      <c r="IS46" s="1325"/>
      <c r="IT46" s="1325"/>
      <c r="IU46" s="1325"/>
      <c r="IV46" s="1325"/>
    </row>
    <row r="47" spans="1:256" ht="48" customHeight="1">
      <c r="A47" s="1365" t="s">
        <v>836</v>
      </c>
      <c r="B47" s="1366" t="s">
        <v>837</v>
      </c>
      <c r="C47" s="1367"/>
      <c r="D47" s="1367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1325"/>
      <c r="AG47" s="1325"/>
      <c r="AH47" s="1325"/>
      <c r="AI47" s="1325"/>
      <c r="AJ47" s="1325"/>
      <c r="AK47" s="1325"/>
      <c r="AL47" s="1325"/>
      <c r="AM47" s="1325"/>
      <c r="AN47" s="1325"/>
      <c r="AO47" s="1325"/>
      <c r="AP47" s="1325"/>
      <c r="AQ47" s="1325"/>
      <c r="AR47" s="1325"/>
      <c r="AS47" s="1325"/>
      <c r="AT47" s="1325"/>
      <c r="AU47" s="1325"/>
      <c r="AV47" s="1325"/>
      <c r="AW47" s="1325"/>
      <c r="AX47" s="1325"/>
      <c r="AY47" s="1325"/>
      <c r="AZ47" s="1325"/>
      <c r="BA47" s="1325"/>
      <c r="BB47" s="1325"/>
      <c r="BC47" s="1325"/>
      <c r="BD47" s="1325"/>
      <c r="BE47" s="1325"/>
      <c r="BF47" s="1325"/>
      <c r="BG47" s="1325"/>
      <c r="BH47" s="1325"/>
      <c r="BI47" s="1325"/>
      <c r="BJ47" s="1325"/>
      <c r="BK47" s="1325"/>
      <c r="BL47" s="1325"/>
      <c r="BM47" s="1325"/>
      <c r="BN47" s="1325"/>
      <c r="BO47" s="1325"/>
      <c r="BP47" s="1325"/>
      <c r="BQ47" s="1325"/>
      <c r="BR47" s="1325"/>
      <c r="BS47" s="1325"/>
      <c r="BT47" s="1325"/>
      <c r="BU47" s="1325"/>
      <c r="BV47" s="1325"/>
      <c r="BW47" s="1325"/>
      <c r="BX47" s="1325"/>
      <c r="BY47" s="1325"/>
      <c r="BZ47" s="1325"/>
      <c r="CA47" s="1325"/>
      <c r="CB47" s="1325"/>
      <c r="CC47" s="1325"/>
      <c r="CD47" s="1325"/>
      <c r="CE47" s="1325"/>
      <c r="CF47" s="1325"/>
      <c r="CG47" s="1325"/>
      <c r="CH47" s="1325"/>
      <c r="CI47" s="1325"/>
      <c r="CJ47" s="1325"/>
      <c r="CK47" s="1325"/>
      <c r="CL47" s="1325"/>
      <c r="CM47" s="1325"/>
      <c r="CN47" s="1325"/>
      <c r="CO47" s="1325"/>
      <c r="CP47" s="1325"/>
      <c r="CQ47" s="1325"/>
      <c r="CR47" s="1325"/>
      <c r="CS47" s="1325"/>
      <c r="CT47" s="1325"/>
      <c r="CU47" s="1325"/>
      <c r="CV47" s="1325"/>
      <c r="CW47" s="1325"/>
      <c r="CX47" s="1325"/>
      <c r="CY47" s="1325"/>
      <c r="CZ47" s="1325"/>
      <c r="DA47" s="1325"/>
      <c r="DB47" s="1325"/>
      <c r="DC47" s="1325"/>
      <c r="DD47" s="1325"/>
      <c r="DE47" s="1325"/>
      <c r="DF47" s="1325"/>
      <c r="DG47" s="1325"/>
      <c r="DH47" s="1325"/>
      <c r="DI47" s="1325"/>
      <c r="DJ47" s="1325"/>
      <c r="DK47" s="1325"/>
      <c r="DL47" s="1325"/>
      <c r="DM47" s="1325"/>
      <c r="DN47" s="1325"/>
      <c r="DO47" s="1325"/>
      <c r="DP47" s="1325"/>
      <c r="DQ47" s="1325"/>
      <c r="DR47" s="1325"/>
      <c r="DS47" s="1325"/>
      <c r="DT47" s="1325"/>
      <c r="DU47" s="1325"/>
      <c r="DV47" s="1325"/>
      <c r="DW47" s="1325"/>
      <c r="DX47" s="1325"/>
      <c r="DY47" s="1325"/>
      <c r="DZ47" s="1325"/>
      <c r="EA47" s="1325"/>
      <c r="EB47" s="1325"/>
      <c r="EC47" s="1325"/>
      <c r="ED47" s="1325"/>
      <c r="EE47" s="1325"/>
      <c r="EF47" s="1325"/>
      <c r="EG47" s="1325"/>
      <c r="EH47" s="1325"/>
      <c r="EI47" s="1325"/>
      <c r="EJ47" s="1325"/>
      <c r="EK47" s="1325"/>
      <c r="EL47" s="1325"/>
      <c r="EM47" s="1325"/>
      <c r="EN47" s="1325"/>
      <c r="EO47" s="1325"/>
      <c r="EP47" s="1325"/>
      <c r="EQ47" s="1325"/>
      <c r="ER47" s="1325"/>
      <c r="ES47" s="1325"/>
      <c r="ET47" s="1325"/>
      <c r="EU47" s="1325"/>
      <c r="EV47" s="1325"/>
      <c r="EW47" s="1325"/>
      <c r="EX47" s="1325"/>
      <c r="EY47" s="1325"/>
      <c r="EZ47" s="1325"/>
      <c r="FA47" s="1325"/>
      <c r="FB47" s="1325"/>
      <c r="FC47" s="1325"/>
      <c r="FD47" s="1325"/>
      <c r="FE47" s="1325"/>
      <c r="FF47" s="1325"/>
      <c r="FG47" s="1325"/>
      <c r="FH47" s="1325"/>
      <c r="FI47" s="1325"/>
      <c r="FJ47" s="1325"/>
      <c r="FK47" s="1325"/>
      <c r="FL47" s="1325"/>
      <c r="FM47" s="1325"/>
      <c r="FN47" s="1325"/>
      <c r="FO47" s="1325"/>
      <c r="FP47" s="1325"/>
      <c r="FQ47" s="1325"/>
      <c r="FR47" s="1325"/>
      <c r="FS47" s="1325"/>
      <c r="FT47" s="1325"/>
      <c r="FU47" s="1325"/>
      <c r="FV47" s="1325"/>
      <c r="FW47" s="1325"/>
      <c r="FX47" s="1325"/>
      <c r="FY47" s="1325"/>
      <c r="FZ47" s="1325"/>
      <c r="GA47" s="1325"/>
      <c r="GB47" s="1325"/>
      <c r="GC47" s="1325"/>
      <c r="GD47" s="1325"/>
      <c r="GE47" s="1325"/>
      <c r="GF47" s="1325"/>
      <c r="GG47" s="1325"/>
      <c r="GH47" s="1325"/>
      <c r="GI47" s="1325"/>
      <c r="GJ47" s="1325"/>
      <c r="GK47" s="1325"/>
      <c r="GL47" s="1325"/>
      <c r="GM47" s="1325"/>
      <c r="GN47" s="1325"/>
      <c r="GO47" s="1325"/>
      <c r="GP47" s="1325"/>
      <c r="GQ47" s="1325"/>
      <c r="GR47" s="1325"/>
      <c r="GS47" s="1325"/>
      <c r="GT47" s="1325"/>
      <c r="GU47" s="1325"/>
      <c r="GV47" s="1325"/>
      <c r="GW47" s="1325"/>
      <c r="GX47" s="1325"/>
      <c r="GY47" s="1325"/>
      <c r="GZ47" s="1325"/>
      <c r="HA47" s="1325"/>
      <c r="HB47" s="1325"/>
      <c r="HC47" s="1325"/>
      <c r="HD47" s="1325"/>
      <c r="HE47" s="1325"/>
      <c r="HF47" s="1325"/>
      <c r="HG47" s="1325"/>
      <c r="HH47" s="1325"/>
      <c r="HI47" s="1325"/>
      <c r="HJ47" s="1325"/>
      <c r="HK47" s="1325"/>
      <c r="HL47" s="1325"/>
      <c r="HM47" s="1325"/>
      <c r="HN47" s="1325"/>
      <c r="HO47" s="1325"/>
      <c r="HP47" s="1325"/>
      <c r="HQ47" s="1325"/>
      <c r="HR47" s="1325"/>
      <c r="HS47" s="1325"/>
      <c r="HT47" s="1325"/>
      <c r="HU47" s="1325"/>
      <c r="HV47" s="1325"/>
      <c r="HW47" s="1325"/>
      <c r="HX47" s="1325"/>
      <c r="HY47" s="1325"/>
      <c r="HZ47" s="1325"/>
      <c r="IA47" s="1325"/>
      <c r="IB47" s="1325"/>
      <c r="IC47" s="1325"/>
      <c r="ID47" s="1325"/>
      <c r="IE47" s="1325"/>
      <c r="IF47" s="1325"/>
      <c r="IG47" s="1325"/>
      <c r="IH47" s="1325"/>
      <c r="II47" s="1325"/>
      <c r="IJ47" s="1325"/>
      <c r="IK47" s="1325"/>
      <c r="IL47" s="1325"/>
      <c r="IM47" s="1325"/>
      <c r="IN47" s="1325"/>
      <c r="IO47" s="1325"/>
      <c r="IP47" s="1325"/>
      <c r="IQ47" s="1325"/>
      <c r="IR47" s="1325"/>
      <c r="IS47" s="1325"/>
      <c r="IT47" s="1325"/>
      <c r="IU47" s="1325"/>
      <c r="IV47" s="1325"/>
    </row>
    <row r="48" spans="1:256" ht="48" customHeight="1">
      <c r="A48" s="1365" t="s">
        <v>838</v>
      </c>
      <c r="B48" s="1366" t="s">
        <v>839</v>
      </c>
      <c r="C48" s="1367"/>
      <c r="D48" s="1367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1325"/>
      <c r="AG48" s="1325"/>
      <c r="AH48" s="1325"/>
      <c r="AI48" s="1325"/>
      <c r="AJ48" s="1325"/>
      <c r="AK48" s="1325"/>
      <c r="AL48" s="1325"/>
      <c r="AM48" s="1325"/>
      <c r="AN48" s="1325"/>
      <c r="AO48" s="1325"/>
      <c r="AP48" s="1325"/>
      <c r="AQ48" s="1325"/>
      <c r="AR48" s="1325"/>
      <c r="AS48" s="1325"/>
      <c r="AT48" s="1325"/>
      <c r="AU48" s="1325"/>
      <c r="AV48" s="1325"/>
      <c r="AW48" s="1325"/>
      <c r="AX48" s="1325"/>
      <c r="AY48" s="1325"/>
      <c r="AZ48" s="1325"/>
      <c r="BA48" s="1325"/>
      <c r="BB48" s="1325"/>
      <c r="BC48" s="1325"/>
      <c r="BD48" s="1325"/>
      <c r="BE48" s="1325"/>
      <c r="BF48" s="1325"/>
      <c r="BG48" s="1325"/>
      <c r="BH48" s="1325"/>
      <c r="BI48" s="1325"/>
      <c r="BJ48" s="1325"/>
      <c r="BK48" s="1325"/>
      <c r="BL48" s="1325"/>
      <c r="BM48" s="1325"/>
      <c r="BN48" s="1325"/>
      <c r="BO48" s="1325"/>
      <c r="BP48" s="1325"/>
      <c r="BQ48" s="1325"/>
      <c r="BR48" s="1325"/>
      <c r="BS48" s="1325"/>
      <c r="BT48" s="1325"/>
      <c r="BU48" s="1325"/>
      <c r="BV48" s="1325"/>
      <c r="BW48" s="1325"/>
      <c r="BX48" s="1325"/>
      <c r="BY48" s="1325"/>
      <c r="BZ48" s="1325"/>
      <c r="CA48" s="1325"/>
      <c r="CB48" s="1325"/>
      <c r="CC48" s="1325"/>
      <c r="CD48" s="1325"/>
      <c r="CE48" s="1325"/>
      <c r="CF48" s="1325"/>
      <c r="CG48" s="1325"/>
      <c r="CH48" s="1325"/>
      <c r="CI48" s="1325"/>
      <c r="CJ48" s="1325"/>
      <c r="CK48" s="1325"/>
      <c r="CL48" s="1325"/>
      <c r="CM48" s="1325"/>
      <c r="CN48" s="1325"/>
      <c r="CO48" s="1325"/>
      <c r="CP48" s="1325"/>
      <c r="CQ48" s="1325"/>
      <c r="CR48" s="1325"/>
      <c r="CS48" s="1325"/>
      <c r="CT48" s="1325"/>
      <c r="CU48" s="1325"/>
      <c r="CV48" s="1325"/>
      <c r="CW48" s="1325"/>
      <c r="CX48" s="1325"/>
      <c r="CY48" s="1325"/>
      <c r="CZ48" s="1325"/>
      <c r="DA48" s="1325"/>
      <c r="DB48" s="1325"/>
      <c r="DC48" s="1325"/>
      <c r="DD48" s="1325"/>
      <c r="DE48" s="1325"/>
      <c r="DF48" s="1325"/>
      <c r="DG48" s="1325"/>
      <c r="DH48" s="1325"/>
      <c r="DI48" s="1325"/>
      <c r="DJ48" s="1325"/>
      <c r="DK48" s="1325"/>
      <c r="DL48" s="1325"/>
      <c r="DM48" s="1325"/>
      <c r="DN48" s="1325"/>
      <c r="DO48" s="1325"/>
      <c r="DP48" s="1325"/>
      <c r="DQ48" s="1325"/>
      <c r="DR48" s="1325"/>
      <c r="DS48" s="1325"/>
      <c r="DT48" s="1325"/>
      <c r="DU48" s="1325"/>
      <c r="DV48" s="1325"/>
      <c r="DW48" s="1325"/>
      <c r="DX48" s="1325"/>
      <c r="DY48" s="1325"/>
      <c r="DZ48" s="1325"/>
      <c r="EA48" s="1325"/>
      <c r="EB48" s="1325"/>
      <c r="EC48" s="1325"/>
      <c r="ED48" s="1325"/>
      <c r="EE48" s="1325"/>
      <c r="EF48" s="1325"/>
      <c r="EG48" s="1325"/>
      <c r="EH48" s="1325"/>
      <c r="EI48" s="1325"/>
      <c r="EJ48" s="1325"/>
      <c r="EK48" s="1325"/>
      <c r="EL48" s="1325"/>
      <c r="EM48" s="1325"/>
      <c r="EN48" s="1325"/>
      <c r="EO48" s="1325"/>
      <c r="EP48" s="1325"/>
      <c r="EQ48" s="1325"/>
      <c r="ER48" s="1325"/>
      <c r="ES48" s="1325"/>
      <c r="ET48" s="1325"/>
      <c r="EU48" s="1325"/>
      <c r="EV48" s="1325"/>
      <c r="EW48" s="1325"/>
      <c r="EX48" s="1325"/>
      <c r="EY48" s="1325"/>
      <c r="EZ48" s="1325"/>
      <c r="FA48" s="1325"/>
      <c r="FB48" s="1325"/>
      <c r="FC48" s="1325"/>
      <c r="FD48" s="1325"/>
      <c r="FE48" s="1325"/>
      <c r="FF48" s="1325"/>
      <c r="FG48" s="1325"/>
      <c r="FH48" s="1325"/>
      <c r="FI48" s="1325"/>
      <c r="FJ48" s="1325"/>
      <c r="FK48" s="1325"/>
      <c r="FL48" s="1325"/>
      <c r="FM48" s="1325"/>
      <c r="FN48" s="1325"/>
      <c r="FO48" s="1325"/>
      <c r="FP48" s="1325"/>
      <c r="FQ48" s="1325"/>
      <c r="FR48" s="1325"/>
      <c r="FS48" s="1325"/>
      <c r="FT48" s="1325"/>
      <c r="FU48" s="1325"/>
      <c r="FV48" s="1325"/>
      <c r="FW48" s="1325"/>
      <c r="FX48" s="1325"/>
      <c r="FY48" s="1325"/>
      <c r="FZ48" s="1325"/>
      <c r="GA48" s="1325"/>
      <c r="GB48" s="1325"/>
      <c r="GC48" s="1325"/>
      <c r="GD48" s="1325"/>
      <c r="GE48" s="1325"/>
      <c r="GF48" s="1325"/>
      <c r="GG48" s="1325"/>
      <c r="GH48" s="1325"/>
      <c r="GI48" s="1325"/>
      <c r="GJ48" s="1325"/>
      <c r="GK48" s="1325"/>
      <c r="GL48" s="1325"/>
      <c r="GM48" s="1325"/>
      <c r="GN48" s="1325"/>
      <c r="GO48" s="1325"/>
      <c r="GP48" s="1325"/>
      <c r="GQ48" s="1325"/>
      <c r="GR48" s="1325"/>
      <c r="GS48" s="1325"/>
      <c r="GT48" s="1325"/>
      <c r="GU48" s="1325"/>
      <c r="GV48" s="1325"/>
      <c r="GW48" s="1325"/>
      <c r="GX48" s="1325"/>
      <c r="GY48" s="1325"/>
      <c r="GZ48" s="1325"/>
      <c r="HA48" s="1325"/>
      <c r="HB48" s="1325"/>
      <c r="HC48" s="1325"/>
      <c r="HD48" s="1325"/>
      <c r="HE48" s="1325"/>
      <c r="HF48" s="1325"/>
      <c r="HG48" s="1325"/>
      <c r="HH48" s="1325"/>
      <c r="HI48" s="1325"/>
      <c r="HJ48" s="1325"/>
      <c r="HK48" s="1325"/>
      <c r="HL48" s="1325"/>
      <c r="HM48" s="1325"/>
      <c r="HN48" s="1325"/>
      <c r="HO48" s="1325"/>
      <c r="HP48" s="1325"/>
      <c r="HQ48" s="1325"/>
      <c r="HR48" s="1325"/>
      <c r="HS48" s="1325"/>
      <c r="HT48" s="1325"/>
      <c r="HU48" s="1325"/>
      <c r="HV48" s="1325"/>
      <c r="HW48" s="1325"/>
      <c r="HX48" s="1325"/>
      <c r="HY48" s="1325"/>
      <c r="HZ48" s="1325"/>
      <c r="IA48" s="1325"/>
      <c r="IB48" s="1325"/>
      <c r="IC48" s="1325"/>
      <c r="ID48" s="1325"/>
      <c r="IE48" s="1325"/>
      <c r="IF48" s="1325"/>
      <c r="IG48" s="1325"/>
      <c r="IH48" s="1325"/>
      <c r="II48" s="1325"/>
      <c r="IJ48" s="1325"/>
      <c r="IK48" s="1325"/>
      <c r="IL48" s="1325"/>
      <c r="IM48" s="1325"/>
      <c r="IN48" s="1325"/>
      <c r="IO48" s="1325"/>
      <c r="IP48" s="1325"/>
      <c r="IQ48" s="1325"/>
      <c r="IR48" s="1325"/>
      <c r="IS48" s="1325"/>
      <c r="IT48" s="1325"/>
      <c r="IU48" s="1325"/>
      <c r="IV48" s="1325"/>
    </row>
    <row r="49" spans="1:256" ht="48" customHeight="1">
      <c r="A49" s="1368" t="s">
        <v>840</v>
      </c>
      <c r="B49" s="1369" t="s">
        <v>841</v>
      </c>
      <c r="C49" s="1372"/>
      <c r="D49" s="1372"/>
      <c r="E49" s="1325"/>
      <c r="F49" s="1325"/>
      <c r="G49" s="1325"/>
      <c r="H49" s="1325"/>
      <c r="I49" s="1325"/>
      <c r="J49" s="1325"/>
      <c r="K49" s="1325"/>
      <c r="L49" s="1325"/>
      <c r="M49" s="1325"/>
      <c r="N49" s="1325"/>
      <c r="O49" s="1325"/>
      <c r="P49" s="1325"/>
      <c r="Q49" s="1325"/>
      <c r="R49" s="1325"/>
      <c r="S49" s="1325"/>
      <c r="T49" s="1325"/>
      <c r="U49" s="1325"/>
      <c r="V49" s="1325"/>
      <c r="W49" s="1325"/>
      <c r="X49" s="1325"/>
      <c r="Y49" s="1325"/>
      <c r="Z49" s="1325"/>
      <c r="AA49" s="1325"/>
      <c r="AB49" s="1325"/>
      <c r="AC49" s="1325"/>
      <c r="AD49" s="1325"/>
      <c r="AE49" s="1325"/>
      <c r="AF49" s="1325"/>
      <c r="AG49" s="1325"/>
      <c r="AH49" s="1325"/>
      <c r="AI49" s="1325"/>
      <c r="AJ49" s="1325"/>
      <c r="AK49" s="1325"/>
      <c r="AL49" s="1325"/>
      <c r="AM49" s="1325"/>
      <c r="AN49" s="1325"/>
      <c r="AO49" s="1325"/>
      <c r="AP49" s="1325"/>
      <c r="AQ49" s="1325"/>
      <c r="AR49" s="1325"/>
      <c r="AS49" s="1325"/>
      <c r="AT49" s="1325"/>
      <c r="AU49" s="1325"/>
      <c r="AV49" s="1325"/>
      <c r="AW49" s="1325"/>
      <c r="AX49" s="1325"/>
      <c r="AY49" s="1325"/>
      <c r="AZ49" s="1325"/>
      <c r="BA49" s="1325"/>
      <c r="BB49" s="1325"/>
      <c r="BC49" s="1325"/>
      <c r="BD49" s="1325"/>
      <c r="BE49" s="1325"/>
      <c r="BF49" s="1325"/>
      <c r="BG49" s="1325"/>
      <c r="BH49" s="1325"/>
      <c r="BI49" s="1325"/>
      <c r="BJ49" s="1325"/>
      <c r="BK49" s="1325"/>
      <c r="BL49" s="1325"/>
      <c r="BM49" s="1325"/>
      <c r="BN49" s="1325"/>
      <c r="BO49" s="1325"/>
      <c r="BP49" s="1325"/>
      <c r="BQ49" s="1325"/>
      <c r="BR49" s="1325"/>
      <c r="BS49" s="1325"/>
      <c r="BT49" s="1325"/>
      <c r="BU49" s="1325"/>
      <c r="BV49" s="1325"/>
      <c r="BW49" s="1325"/>
      <c r="BX49" s="1325"/>
      <c r="BY49" s="1325"/>
      <c r="BZ49" s="1325"/>
      <c r="CA49" s="1325"/>
      <c r="CB49" s="1325"/>
      <c r="CC49" s="1325"/>
      <c r="CD49" s="1325"/>
      <c r="CE49" s="1325"/>
      <c r="CF49" s="1325"/>
      <c r="CG49" s="1325"/>
      <c r="CH49" s="1325"/>
      <c r="CI49" s="1325"/>
      <c r="CJ49" s="1325"/>
      <c r="CK49" s="1325"/>
      <c r="CL49" s="1325"/>
      <c r="CM49" s="1325"/>
      <c r="CN49" s="1325"/>
      <c r="CO49" s="1325"/>
      <c r="CP49" s="1325"/>
      <c r="CQ49" s="1325"/>
      <c r="CR49" s="1325"/>
      <c r="CS49" s="1325"/>
      <c r="CT49" s="1325"/>
      <c r="CU49" s="1325"/>
      <c r="CV49" s="1325"/>
      <c r="CW49" s="1325"/>
      <c r="CX49" s="1325"/>
      <c r="CY49" s="1325"/>
      <c r="CZ49" s="1325"/>
      <c r="DA49" s="1325"/>
      <c r="DB49" s="1325"/>
      <c r="DC49" s="1325"/>
      <c r="DD49" s="1325"/>
      <c r="DE49" s="1325"/>
      <c r="DF49" s="1325"/>
      <c r="DG49" s="1325"/>
      <c r="DH49" s="1325"/>
      <c r="DI49" s="1325"/>
      <c r="DJ49" s="1325"/>
      <c r="DK49" s="1325"/>
      <c r="DL49" s="1325"/>
      <c r="DM49" s="1325"/>
      <c r="DN49" s="1325"/>
      <c r="DO49" s="1325"/>
      <c r="DP49" s="1325"/>
      <c r="DQ49" s="1325"/>
      <c r="DR49" s="1325"/>
      <c r="DS49" s="1325"/>
      <c r="DT49" s="1325"/>
      <c r="DU49" s="1325"/>
      <c r="DV49" s="1325"/>
      <c r="DW49" s="1325"/>
      <c r="DX49" s="1325"/>
      <c r="DY49" s="1325"/>
      <c r="DZ49" s="1325"/>
      <c r="EA49" s="1325"/>
      <c r="EB49" s="1325"/>
      <c r="EC49" s="1325"/>
      <c r="ED49" s="1325"/>
      <c r="EE49" s="1325"/>
      <c r="EF49" s="1325"/>
      <c r="EG49" s="1325"/>
      <c r="EH49" s="1325"/>
      <c r="EI49" s="1325"/>
      <c r="EJ49" s="1325"/>
      <c r="EK49" s="1325"/>
      <c r="EL49" s="1325"/>
      <c r="EM49" s="1325"/>
      <c r="EN49" s="1325"/>
      <c r="EO49" s="1325"/>
      <c r="EP49" s="1325"/>
      <c r="EQ49" s="1325"/>
      <c r="ER49" s="1325"/>
      <c r="ES49" s="1325"/>
      <c r="ET49" s="1325"/>
      <c r="EU49" s="1325"/>
      <c r="EV49" s="1325"/>
      <c r="EW49" s="1325"/>
      <c r="EX49" s="1325"/>
      <c r="EY49" s="1325"/>
      <c r="EZ49" s="1325"/>
      <c r="FA49" s="1325"/>
      <c r="FB49" s="1325"/>
      <c r="FC49" s="1325"/>
      <c r="FD49" s="1325"/>
      <c r="FE49" s="1325"/>
      <c r="FF49" s="1325"/>
      <c r="FG49" s="1325"/>
      <c r="FH49" s="1325"/>
      <c r="FI49" s="1325"/>
      <c r="FJ49" s="1325"/>
      <c r="FK49" s="1325"/>
      <c r="FL49" s="1325"/>
      <c r="FM49" s="1325"/>
      <c r="FN49" s="1325"/>
      <c r="FO49" s="1325"/>
      <c r="FP49" s="1325"/>
      <c r="FQ49" s="1325"/>
      <c r="FR49" s="1325"/>
      <c r="FS49" s="1325"/>
      <c r="FT49" s="1325"/>
      <c r="FU49" s="1325"/>
      <c r="FV49" s="1325"/>
      <c r="FW49" s="1325"/>
      <c r="FX49" s="1325"/>
      <c r="FY49" s="1325"/>
      <c r="FZ49" s="1325"/>
      <c r="GA49" s="1325"/>
      <c r="GB49" s="1325"/>
      <c r="GC49" s="1325"/>
      <c r="GD49" s="1325"/>
      <c r="GE49" s="1325"/>
      <c r="GF49" s="1325"/>
      <c r="GG49" s="1325"/>
      <c r="GH49" s="1325"/>
      <c r="GI49" s="1325"/>
      <c r="GJ49" s="1325"/>
      <c r="GK49" s="1325"/>
      <c r="GL49" s="1325"/>
      <c r="GM49" s="1325"/>
      <c r="GN49" s="1325"/>
      <c r="GO49" s="1325"/>
      <c r="GP49" s="1325"/>
      <c r="GQ49" s="1325"/>
      <c r="GR49" s="1325"/>
      <c r="GS49" s="1325"/>
      <c r="GT49" s="1325"/>
      <c r="GU49" s="1325"/>
      <c r="GV49" s="1325"/>
      <c r="GW49" s="1325"/>
      <c r="GX49" s="1325"/>
      <c r="GY49" s="1325"/>
      <c r="GZ49" s="1325"/>
      <c r="HA49" s="1325"/>
      <c r="HB49" s="1325"/>
      <c r="HC49" s="1325"/>
      <c r="HD49" s="1325"/>
      <c r="HE49" s="1325"/>
      <c r="HF49" s="1325"/>
      <c r="HG49" s="1325"/>
      <c r="HH49" s="1325"/>
      <c r="HI49" s="1325"/>
      <c r="HJ49" s="1325"/>
      <c r="HK49" s="1325"/>
      <c r="HL49" s="1325"/>
      <c r="HM49" s="1325"/>
      <c r="HN49" s="1325"/>
      <c r="HO49" s="1325"/>
      <c r="HP49" s="1325"/>
      <c r="HQ49" s="1325"/>
      <c r="HR49" s="1325"/>
      <c r="HS49" s="1325"/>
      <c r="HT49" s="1325"/>
      <c r="HU49" s="1325"/>
      <c r="HV49" s="1325"/>
      <c r="HW49" s="1325"/>
      <c r="HX49" s="1325"/>
      <c r="HY49" s="1325"/>
      <c r="HZ49" s="1325"/>
      <c r="IA49" s="1325"/>
      <c r="IB49" s="1325"/>
      <c r="IC49" s="1325"/>
      <c r="ID49" s="1325"/>
      <c r="IE49" s="1325"/>
      <c r="IF49" s="1325"/>
      <c r="IG49" s="1325"/>
      <c r="IH49" s="1325"/>
      <c r="II49" s="1325"/>
      <c r="IJ49" s="1325"/>
      <c r="IK49" s="1325"/>
      <c r="IL49" s="1325"/>
      <c r="IM49" s="1325"/>
      <c r="IN49" s="1325"/>
      <c r="IO49" s="1325"/>
      <c r="IP49" s="1325"/>
      <c r="IQ49" s="1325"/>
      <c r="IR49" s="1325"/>
      <c r="IS49" s="1325"/>
      <c r="IT49" s="1325"/>
      <c r="IU49" s="1325"/>
      <c r="IV49" s="1325"/>
    </row>
    <row r="50" spans="1:256" ht="48" customHeight="1">
      <c r="A50" s="1365" t="s">
        <v>842</v>
      </c>
      <c r="B50" s="1366" t="s">
        <v>843</v>
      </c>
      <c r="C50" s="1367"/>
      <c r="D50" s="1367"/>
      <c r="E50" s="1325"/>
      <c r="F50" s="1325"/>
      <c r="G50" s="1325"/>
      <c r="H50" s="1325"/>
      <c r="I50" s="1325"/>
      <c r="J50" s="1325"/>
      <c r="K50" s="1325"/>
      <c r="L50" s="1325"/>
      <c r="M50" s="1325"/>
      <c r="N50" s="1325"/>
      <c r="O50" s="1325"/>
      <c r="P50" s="1325"/>
      <c r="Q50" s="1325"/>
      <c r="R50" s="1325"/>
      <c r="S50" s="1325"/>
      <c r="T50" s="1325"/>
      <c r="U50" s="1325"/>
      <c r="V50" s="1325"/>
      <c r="W50" s="1325"/>
      <c r="X50" s="1325"/>
      <c r="Y50" s="1325"/>
      <c r="Z50" s="1325"/>
      <c r="AA50" s="1325"/>
      <c r="AB50" s="1325"/>
      <c r="AC50" s="1325"/>
      <c r="AD50" s="1325"/>
      <c r="AE50" s="1325"/>
      <c r="AF50" s="1325"/>
      <c r="AG50" s="1325"/>
      <c r="AH50" s="1325"/>
      <c r="AI50" s="1325"/>
      <c r="AJ50" s="1325"/>
      <c r="AK50" s="1325"/>
      <c r="AL50" s="1325"/>
      <c r="AM50" s="1325"/>
      <c r="AN50" s="1325"/>
      <c r="AO50" s="1325"/>
      <c r="AP50" s="1325"/>
      <c r="AQ50" s="1325"/>
      <c r="AR50" s="1325"/>
      <c r="AS50" s="1325"/>
      <c r="AT50" s="1325"/>
      <c r="AU50" s="1325"/>
      <c r="AV50" s="1325"/>
      <c r="AW50" s="1325"/>
      <c r="AX50" s="1325"/>
      <c r="AY50" s="1325"/>
      <c r="AZ50" s="1325"/>
      <c r="BA50" s="1325"/>
      <c r="BB50" s="1325"/>
      <c r="BC50" s="1325"/>
      <c r="BD50" s="1325"/>
      <c r="BE50" s="1325"/>
      <c r="BF50" s="1325"/>
      <c r="BG50" s="1325"/>
      <c r="BH50" s="1325"/>
      <c r="BI50" s="1325"/>
      <c r="BJ50" s="1325"/>
      <c r="BK50" s="1325"/>
      <c r="BL50" s="1325"/>
      <c r="BM50" s="1325"/>
      <c r="BN50" s="1325"/>
      <c r="BO50" s="1325"/>
      <c r="BP50" s="1325"/>
      <c r="BQ50" s="1325"/>
      <c r="BR50" s="1325"/>
      <c r="BS50" s="1325"/>
      <c r="BT50" s="1325"/>
      <c r="BU50" s="1325"/>
      <c r="BV50" s="1325"/>
      <c r="BW50" s="1325"/>
      <c r="BX50" s="1325"/>
      <c r="BY50" s="1325"/>
      <c r="BZ50" s="1325"/>
      <c r="CA50" s="1325"/>
      <c r="CB50" s="1325"/>
      <c r="CC50" s="1325"/>
      <c r="CD50" s="1325"/>
      <c r="CE50" s="1325"/>
      <c r="CF50" s="1325"/>
      <c r="CG50" s="1325"/>
      <c r="CH50" s="1325"/>
      <c r="CI50" s="1325"/>
      <c r="CJ50" s="1325"/>
      <c r="CK50" s="1325"/>
      <c r="CL50" s="1325"/>
      <c r="CM50" s="1325"/>
      <c r="CN50" s="1325"/>
      <c r="CO50" s="1325"/>
      <c r="CP50" s="1325"/>
      <c r="CQ50" s="1325"/>
      <c r="CR50" s="1325"/>
      <c r="CS50" s="1325"/>
      <c r="CT50" s="1325"/>
      <c r="CU50" s="1325"/>
      <c r="CV50" s="1325"/>
      <c r="CW50" s="1325"/>
      <c r="CX50" s="1325"/>
      <c r="CY50" s="1325"/>
      <c r="CZ50" s="1325"/>
      <c r="DA50" s="1325"/>
      <c r="DB50" s="1325"/>
      <c r="DC50" s="1325"/>
      <c r="DD50" s="1325"/>
      <c r="DE50" s="1325"/>
      <c r="DF50" s="1325"/>
      <c r="DG50" s="1325"/>
      <c r="DH50" s="1325"/>
      <c r="DI50" s="1325"/>
      <c r="DJ50" s="1325"/>
      <c r="DK50" s="1325"/>
      <c r="DL50" s="1325"/>
      <c r="DM50" s="1325"/>
      <c r="DN50" s="1325"/>
      <c r="DO50" s="1325"/>
      <c r="DP50" s="1325"/>
      <c r="DQ50" s="1325"/>
      <c r="DR50" s="1325"/>
      <c r="DS50" s="1325"/>
      <c r="DT50" s="1325"/>
      <c r="DU50" s="1325"/>
      <c r="DV50" s="1325"/>
      <c r="DW50" s="1325"/>
      <c r="DX50" s="1325"/>
      <c r="DY50" s="1325"/>
      <c r="DZ50" s="1325"/>
      <c r="EA50" s="1325"/>
      <c r="EB50" s="1325"/>
      <c r="EC50" s="1325"/>
      <c r="ED50" s="1325"/>
      <c r="EE50" s="1325"/>
      <c r="EF50" s="1325"/>
      <c r="EG50" s="1325"/>
      <c r="EH50" s="1325"/>
      <c r="EI50" s="1325"/>
      <c r="EJ50" s="1325"/>
      <c r="EK50" s="1325"/>
      <c r="EL50" s="1325"/>
      <c r="EM50" s="1325"/>
      <c r="EN50" s="1325"/>
      <c r="EO50" s="1325"/>
      <c r="EP50" s="1325"/>
      <c r="EQ50" s="1325"/>
      <c r="ER50" s="1325"/>
      <c r="ES50" s="1325"/>
      <c r="ET50" s="1325"/>
      <c r="EU50" s="1325"/>
      <c r="EV50" s="1325"/>
      <c r="EW50" s="1325"/>
      <c r="EX50" s="1325"/>
      <c r="EY50" s="1325"/>
      <c r="EZ50" s="1325"/>
      <c r="FA50" s="1325"/>
      <c r="FB50" s="1325"/>
      <c r="FC50" s="1325"/>
      <c r="FD50" s="1325"/>
      <c r="FE50" s="1325"/>
      <c r="FF50" s="1325"/>
      <c r="FG50" s="1325"/>
      <c r="FH50" s="1325"/>
      <c r="FI50" s="1325"/>
      <c r="FJ50" s="1325"/>
      <c r="FK50" s="1325"/>
      <c r="FL50" s="1325"/>
      <c r="FM50" s="1325"/>
      <c r="FN50" s="1325"/>
      <c r="FO50" s="1325"/>
      <c r="FP50" s="1325"/>
      <c r="FQ50" s="1325"/>
      <c r="FR50" s="1325"/>
      <c r="FS50" s="1325"/>
      <c r="FT50" s="1325"/>
      <c r="FU50" s="1325"/>
      <c r="FV50" s="1325"/>
      <c r="FW50" s="1325"/>
      <c r="FX50" s="1325"/>
      <c r="FY50" s="1325"/>
      <c r="FZ50" s="1325"/>
      <c r="GA50" s="1325"/>
      <c r="GB50" s="1325"/>
      <c r="GC50" s="1325"/>
      <c r="GD50" s="1325"/>
      <c r="GE50" s="1325"/>
      <c r="GF50" s="1325"/>
      <c r="GG50" s="1325"/>
      <c r="GH50" s="1325"/>
      <c r="GI50" s="1325"/>
      <c r="GJ50" s="1325"/>
      <c r="GK50" s="1325"/>
      <c r="GL50" s="1325"/>
      <c r="GM50" s="1325"/>
      <c r="GN50" s="1325"/>
      <c r="GO50" s="1325"/>
      <c r="GP50" s="1325"/>
      <c r="GQ50" s="1325"/>
      <c r="GR50" s="1325"/>
      <c r="GS50" s="1325"/>
      <c r="GT50" s="1325"/>
      <c r="GU50" s="1325"/>
      <c r="GV50" s="1325"/>
      <c r="GW50" s="1325"/>
      <c r="GX50" s="1325"/>
      <c r="GY50" s="1325"/>
      <c r="GZ50" s="1325"/>
      <c r="HA50" s="1325"/>
      <c r="HB50" s="1325"/>
      <c r="HC50" s="1325"/>
      <c r="HD50" s="1325"/>
      <c r="HE50" s="1325"/>
      <c r="HF50" s="1325"/>
      <c r="HG50" s="1325"/>
      <c r="HH50" s="1325"/>
      <c r="HI50" s="1325"/>
      <c r="HJ50" s="1325"/>
      <c r="HK50" s="1325"/>
      <c r="HL50" s="1325"/>
      <c r="HM50" s="1325"/>
      <c r="HN50" s="1325"/>
      <c r="HO50" s="1325"/>
      <c r="HP50" s="1325"/>
      <c r="HQ50" s="1325"/>
      <c r="HR50" s="1325"/>
      <c r="HS50" s="1325"/>
      <c r="HT50" s="1325"/>
      <c r="HU50" s="1325"/>
      <c r="HV50" s="1325"/>
      <c r="HW50" s="1325"/>
      <c r="HX50" s="1325"/>
      <c r="HY50" s="1325"/>
      <c r="HZ50" s="1325"/>
      <c r="IA50" s="1325"/>
      <c r="IB50" s="1325"/>
      <c r="IC50" s="1325"/>
      <c r="ID50" s="1325"/>
      <c r="IE50" s="1325"/>
      <c r="IF50" s="1325"/>
      <c r="IG50" s="1325"/>
      <c r="IH50" s="1325"/>
      <c r="II50" s="1325"/>
      <c r="IJ50" s="1325"/>
      <c r="IK50" s="1325"/>
      <c r="IL50" s="1325"/>
      <c r="IM50" s="1325"/>
      <c r="IN50" s="1325"/>
      <c r="IO50" s="1325"/>
      <c r="IP50" s="1325"/>
      <c r="IQ50" s="1325"/>
      <c r="IR50" s="1325"/>
      <c r="IS50" s="1325"/>
      <c r="IT50" s="1325"/>
      <c r="IU50" s="1325"/>
      <c r="IV50" s="1325"/>
    </row>
    <row r="51" spans="1:256" ht="48" customHeight="1">
      <c r="A51" s="1365" t="s">
        <v>844</v>
      </c>
      <c r="B51" s="1366" t="s">
        <v>845</v>
      </c>
      <c r="C51" s="1367"/>
      <c r="D51" s="1367"/>
      <c r="E51" s="1325"/>
      <c r="F51" s="1325"/>
      <c r="G51" s="1325"/>
      <c r="H51" s="1325"/>
      <c r="I51" s="1325"/>
      <c r="J51" s="1325"/>
      <c r="K51" s="1325"/>
      <c r="L51" s="1325"/>
      <c r="M51" s="1325"/>
      <c r="N51" s="1325"/>
      <c r="O51" s="1325"/>
      <c r="P51" s="1325"/>
      <c r="Q51" s="1325"/>
      <c r="R51" s="1325"/>
      <c r="S51" s="1325"/>
      <c r="T51" s="1325"/>
      <c r="U51" s="1325"/>
      <c r="V51" s="1325"/>
      <c r="W51" s="1325"/>
      <c r="X51" s="1325"/>
      <c r="Y51" s="1325"/>
      <c r="Z51" s="1325"/>
      <c r="AA51" s="1325"/>
      <c r="AB51" s="1325"/>
      <c r="AC51" s="1325"/>
      <c r="AD51" s="1325"/>
      <c r="AE51" s="1325"/>
      <c r="AF51" s="1325"/>
      <c r="AG51" s="1325"/>
      <c r="AH51" s="1325"/>
      <c r="AI51" s="1325"/>
      <c r="AJ51" s="1325"/>
      <c r="AK51" s="1325"/>
      <c r="AL51" s="1325"/>
      <c r="AM51" s="1325"/>
      <c r="AN51" s="1325"/>
      <c r="AO51" s="1325"/>
      <c r="AP51" s="1325"/>
      <c r="AQ51" s="1325"/>
      <c r="AR51" s="1325"/>
      <c r="AS51" s="1325"/>
      <c r="AT51" s="1325"/>
      <c r="AU51" s="1325"/>
      <c r="AV51" s="1325"/>
      <c r="AW51" s="1325"/>
      <c r="AX51" s="1325"/>
      <c r="AY51" s="1325"/>
      <c r="AZ51" s="1325"/>
      <c r="BA51" s="1325"/>
      <c r="BB51" s="1325"/>
      <c r="BC51" s="1325"/>
      <c r="BD51" s="1325"/>
      <c r="BE51" s="1325"/>
      <c r="BF51" s="1325"/>
      <c r="BG51" s="1325"/>
      <c r="BH51" s="1325"/>
      <c r="BI51" s="1325"/>
      <c r="BJ51" s="1325"/>
      <c r="BK51" s="1325"/>
      <c r="BL51" s="1325"/>
      <c r="BM51" s="1325"/>
      <c r="BN51" s="1325"/>
      <c r="BO51" s="1325"/>
      <c r="BP51" s="1325"/>
      <c r="BQ51" s="1325"/>
      <c r="BR51" s="1325"/>
      <c r="BS51" s="1325"/>
      <c r="BT51" s="1325"/>
      <c r="BU51" s="1325"/>
      <c r="BV51" s="1325"/>
      <c r="BW51" s="1325"/>
      <c r="BX51" s="1325"/>
      <c r="BY51" s="1325"/>
      <c r="BZ51" s="1325"/>
      <c r="CA51" s="1325"/>
      <c r="CB51" s="1325"/>
      <c r="CC51" s="1325"/>
      <c r="CD51" s="1325"/>
      <c r="CE51" s="1325"/>
      <c r="CF51" s="1325"/>
      <c r="CG51" s="1325"/>
      <c r="CH51" s="1325"/>
      <c r="CI51" s="1325"/>
      <c r="CJ51" s="1325"/>
      <c r="CK51" s="1325"/>
      <c r="CL51" s="1325"/>
      <c r="CM51" s="1325"/>
      <c r="CN51" s="1325"/>
      <c r="CO51" s="1325"/>
      <c r="CP51" s="1325"/>
      <c r="CQ51" s="1325"/>
      <c r="CR51" s="1325"/>
      <c r="CS51" s="1325"/>
      <c r="CT51" s="1325"/>
      <c r="CU51" s="1325"/>
      <c r="CV51" s="1325"/>
      <c r="CW51" s="1325"/>
      <c r="CX51" s="1325"/>
      <c r="CY51" s="1325"/>
      <c r="CZ51" s="1325"/>
      <c r="DA51" s="1325"/>
      <c r="DB51" s="1325"/>
      <c r="DC51" s="1325"/>
      <c r="DD51" s="1325"/>
      <c r="DE51" s="1325"/>
      <c r="DF51" s="1325"/>
      <c r="DG51" s="1325"/>
      <c r="DH51" s="1325"/>
      <c r="DI51" s="1325"/>
      <c r="DJ51" s="1325"/>
      <c r="DK51" s="1325"/>
      <c r="DL51" s="1325"/>
      <c r="DM51" s="1325"/>
      <c r="DN51" s="1325"/>
      <c r="DO51" s="1325"/>
      <c r="DP51" s="1325"/>
      <c r="DQ51" s="1325"/>
      <c r="DR51" s="1325"/>
      <c r="DS51" s="1325"/>
      <c r="DT51" s="1325"/>
      <c r="DU51" s="1325"/>
      <c r="DV51" s="1325"/>
      <c r="DW51" s="1325"/>
      <c r="DX51" s="1325"/>
      <c r="DY51" s="1325"/>
      <c r="DZ51" s="1325"/>
      <c r="EA51" s="1325"/>
      <c r="EB51" s="1325"/>
      <c r="EC51" s="1325"/>
      <c r="ED51" s="1325"/>
      <c r="EE51" s="1325"/>
      <c r="EF51" s="1325"/>
      <c r="EG51" s="1325"/>
      <c r="EH51" s="1325"/>
      <c r="EI51" s="1325"/>
      <c r="EJ51" s="1325"/>
      <c r="EK51" s="1325"/>
      <c r="EL51" s="1325"/>
      <c r="EM51" s="1325"/>
      <c r="EN51" s="1325"/>
      <c r="EO51" s="1325"/>
      <c r="EP51" s="1325"/>
      <c r="EQ51" s="1325"/>
      <c r="ER51" s="1325"/>
      <c r="ES51" s="1325"/>
      <c r="ET51" s="1325"/>
      <c r="EU51" s="1325"/>
      <c r="EV51" s="1325"/>
      <c r="EW51" s="1325"/>
      <c r="EX51" s="1325"/>
      <c r="EY51" s="1325"/>
      <c r="EZ51" s="1325"/>
      <c r="FA51" s="1325"/>
      <c r="FB51" s="1325"/>
      <c r="FC51" s="1325"/>
      <c r="FD51" s="1325"/>
      <c r="FE51" s="1325"/>
      <c r="FF51" s="1325"/>
      <c r="FG51" s="1325"/>
      <c r="FH51" s="1325"/>
      <c r="FI51" s="1325"/>
      <c r="FJ51" s="1325"/>
      <c r="FK51" s="1325"/>
      <c r="FL51" s="1325"/>
      <c r="FM51" s="1325"/>
      <c r="FN51" s="1325"/>
      <c r="FO51" s="1325"/>
      <c r="FP51" s="1325"/>
      <c r="FQ51" s="1325"/>
      <c r="FR51" s="1325"/>
      <c r="FS51" s="1325"/>
      <c r="FT51" s="1325"/>
      <c r="FU51" s="1325"/>
      <c r="FV51" s="1325"/>
      <c r="FW51" s="1325"/>
      <c r="FX51" s="1325"/>
      <c r="FY51" s="1325"/>
      <c r="FZ51" s="1325"/>
      <c r="GA51" s="1325"/>
      <c r="GB51" s="1325"/>
      <c r="GC51" s="1325"/>
      <c r="GD51" s="1325"/>
      <c r="GE51" s="1325"/>
      <c r="GF51" s="1325"/>
      <c r="GG51" s="1325"/>
      <c r="GH51" s="1325"/>
      <c r="GI51" s="1325"/>
      <c r="GJ51" s="1325"/>
      <c r="GK51" s="1325"/>
      <c r="GL51" s="1325"/>
      <c r="GM51" s="1325"/>
      <c r="GN51" s="1325"/>
      <c r="GO51" s="1325"/>
      <c r="GP51" s="1325"/>
      <c r="GQ51" s="1325"/>
      <c r="GR51" s="1325"/>
      <c r="GS51" s="1325"/>
      <c r="GT51" s="1325"/>
      <c r="GU51" s="1325"/>
      <c r="GV51" s="1325"/>
      <c r="GW51" s="1325"/>
      <c r="GX51" s="1325"/>
      <c r="GY51" s="1325"/>
      <c r="GZ51" s="1325"/>
      <c r="HA51" s="1325"/>
      <c r="HB51" s="1325"/>
      <c r="HC51" s="1325"/>
      <c r="HD51" s="1325"/>
      <c r="HE51" s="1325"/>
      <c r="HF51" s="1325"/>
      <c r="HG51" s="1325"/>
      <c r="HH51" s="1325"/>
      <c r="HI51" s="1325"/>
      <c r="HJ51" s="1325"/>
      <c r="HK51" s="1325"/>
      <c r="HL51" s="1325"/>
      <c r="HM51" s="1325"/>
      <c r="HN51" s="1325"/>
      <c r="HO51" s="1325"/>
      <c r="HP51" s="1325"/>
      <c r="HQ51" s="1325"/>
      <c r="HR51" s="1325"/>
      <c r="HS51" s="1325"/>
      <c r="HT51" s="1325"/>
      <c r="HU51" s="1325"/>
      <c r="HV51" s="1325"/>
      <c r="HW51" s="1325"/>
      <c r="HX51" s="1325"/>
      <c r="HY51" s="1325"/>
      <c r="HZ51" s="1325"/>
      <c r="IA51" s="1325"/>
      <c r="IB51" s="1325"/>
      <c r="IC51" s="1325"/>
      <c r="ID51" s="1325"/>
      <c r="IE51" s="1325"/>
      <c r="IF51" s="1325"/>
      <c r="IG51" s="1325"/>
      <c r="IH51" s="1325"/>
      <c r="II51" s="1325"/>
      <c r="IJ51" s="1325"/>
      <c r="IK51" s="1325"/>
      <c r="IL51" s="1325"/>
      <c r="IM51" s="1325"/>
      <c r="IN51" s="1325"/>
      <c r="IO51" s="1325"/>
      <c r="IP51" s="1325"/>
      <c r="IQ51" s="1325"/>
      <c r="IR51" s="1325"/>
      <c r="IS51" s="1325"/>
      <c r="IT51" s="1325"/>
      <c r="IU51" s="1325"/>
      <c r="IV51" s="1325"/>
    </row>
    <row r="52" spans="1:256" ht="48" customHeight="1">
      <c r="A52" s="1365" t="s">
        <v>846</v>
      </c>
      <c r="B52" s="1366" t="s">
        <v>847</v>
      </c>
      <c r="C52" s="1367"/>
      <c r="D52" s="1367"/>
      <c r="E52" s="1325"/>
      <c r="F52" s="1325"/>
      <c r="G52" s="1325"/>
      <c r="H52" s="1325"/>
      <c r="I52" s="1325"/>
      <c r="J52" s="1325"/>
      <c r="K52" s="1325"/>
      <c r="L52" s="1325"/>
      <c r="M52" s="1325"/>
      <c r="N52" s="1325"/>
      <c r="O52" s="1325"/>
      <c r="P52" s="1325"/>
      <c r="Q52" s="1325"/>
      <c r="R52" s="1325"/>
      <c r="S52" s="1325"/>
      <c r="T52" s="1325"/>
      <c r="U52" s="1325"/>
      <c r="V52" s="1325"/>
      <c r="W52" s="1325"/>
      <c r="X52" s="1325"/>
      <c r="Y52" s="1325"/>
      <c r="Z52" s="1325"/>
      <c r="AA52" s="1325"/>
      <c r="AB52" s="1325"/>
      <c r="AC52" s="1325"/>
      <c r="AD52" s="1325"/>
      <c r="AE52" s="1325"/>
      <c r="AF52" s="1325"/>
      <c r="AG52" s="1325"/>
      <c r="AH52" s="1325"/>
      <c r="AI52" s="1325"/>
      <c r="AJ52" s="1325"/>
      <c r="AK52" s="1325"/>
      <c r="AL52" s="1325"/>
      <c r="AM52" s="1325"/>
      <c r="AN52" s="1325"/>
      <c r="AO52" s="1325"/>
      <c r="AP52" s="1325"/>
      <c r="AQ52" s="1325"/>
      <c r="AR52" s="1325"/>
      <c r="AS52" s="1325"/>
      <c r="AT52" s="1325"/>
      <c r="AU52" s="1325"/>
      <c r="AV52" s="1325"/>
      <c r="AW52" s="1325"/>
      <c r="AX52" s="1325"/>
      <c r="AY52" s="1325"/>
      <c r="AZ52" s="1325"/>
      <c r="BA52" s="1325"/>
      <c r="BB52" s="1325"/>
      <c r="BC52" s="1325"/>
      <c r="BD52" s="1325"/>
      <c r="BE52" s="1325"/>
      <c r="BF52" s="1325"/>
      <c r="BG52" s="1325"/>
      <c r="BH52" s="1325"/>
      <c r="BI52" s="1325"/>
      <c r="BJ52" s="1325"/>
      <c r="BK52" s="1325"/>
      <c r="BL52" s="1325"/>
      <c r="BM52" s="1325"/>
      <c r="BN52" s="1325"/>
      <c r="BO52" s="1325"/>
      <c r="BP52" s="1325"/>
      <c r="BQ52" s="1325"/>
      <c r="BR52" s="1325"/>
      <c r="BS52" s="1325"/>
      <c r="BT52" s="1325"/>
      <c r="BU52" s="1325"/>
      <c r="BV52" s="1325"/>
      <c r="BW52" s="1325"/>
      <c r="BX52" s="1325"/>
      <c r="BY52" s="1325"/>
      <c r="BZ52" s="1325"/>
      <c r="CA52" s="1325"/>
      <c r="CB52" s="1325"/>
      <c r="CC52" s="1325"/>
      <c r="CD52" s="1325"/>
      <c r="CE52" s="1325"/>
      <c r="CF52" s="1325"/>
      <c r="CG52" s="1325"/>
      <c r="CH52" s="1325"/>
      <c r="CI52" s="1325"/>
      <c r="CJ52" s="1325"/>
      <c r="CK52" s="1325"/>
      <c r="CL52" s="1325"/>
      <c r="CM52" s="1325"/>
      <c r="CN52" s="1325"/>
      <c r="CO52" s="1325"/>
      <c r="CP52" s="1325"/>
      <c r="CQ52" s="1325"/>
      <c r="CR52" s="1325"/>
      <c r="CS52" s="1325"/>
      <c r="CT52" s="1325"/>
      <c r="CU52" s="1325"/>
      <c r="CV52" s="1325"/>
      <c r="CW52" s="1325"/>
      <c r="CX52" s="1325"/>
      <c r="CY52" s="1325"/>
      <c r="CZ52" s="1325"/>
      <c r="DA52" s="1325"/>
      <c r="DB52" s="1325"/>
      <c r="DC52" s="1325"/>
      <c r="DD52" s="1325"/>
      <c r="DE52" s="1325"/>
      <c r="DF52" s="1325"/>
      <c r="DG52" s="1325"/>
      <c r="DH52" s="1325"/>
      <c r="DI52" s="1325"/>
      <c r="DJ52" s="1325"/>
      <c r="DK52" s="1325"/>
      <c r="DL52" s="1325"/>
      <c r="DM52" s="1325"/>
      <c r="DN52" s="1325"/>
      <c r="DO52" s="1325"/>
      <c r="DP52" s="1325"/>
      <c r="DQ52" s="1325"/>
      <c r="DR52" s="1325"/>
      <c r="DS52" s="1325"/>
      <c r="DT52" s="1325"/>
      <c r="DU52" s="1325"/>
      <c r="DV52" s="1325"/>
      <c r="DW52" s="1325"/>
      <c r="DX52" s="1325"/>
      <c r="DY52" s="1325"/>
      <c r="DZ52" s="1325"/>
      <c r="EA52" s="1325"/>
      <c r="EB52" s="1325"/>
      <c r="EC52" s="1325"/>
      <c r="ED52" s="1325"/>
      <c r="EE52" s="1325"/>
      <c r="EF52" s="1325"/>
      <c r="EG52" s="1325"/>
      <c r="EH52" s="1325"/>
      <c r="EI52" s="1325"/>
      <c r="EJ52" s="1325"/>
      <c r="EK52" s="1325"/>
      <c r="EL52" s="1325"/>
      <c r="EM52" s="1325"/>
      <c r="EN52" s="1325"/>
      <c r="EO52" s="1325"/>
      <c r="EP52" s="1325"/>
      <c r="EQ52" s="1325"/>
      <c r="ER52" s="1325"/>
      <c r="ES52" s="1325"/>
      <c r="ET52" s="1325"/>
      <c r="EU52" s="1325"/>
      <c r="EV52" s="1325"/>
      <c r="EW52" s="1325"/>
      <c r="EX52" s="1325"/>
      <c r="EY52" s="1325"/>
      <c r="EZ52" s="1325"/>
      <c r="FA52" s="1325"/>
      <c r="FB52" s="1325"/>
      <c r="FC52" s="1325"/>
      <c r="FD52" s="1325"/>
      <c r="FE52" s="1325"/>
      <c r="FF52" s="1325"/>
      <c r="FG52" s="1325"/>
      <c r="FH52" s="1325"/>
      <c r="FI52" s="1325"/>
      <c r="FJ52" s="1325"/>
      <c r="FK52" s="1325"/>
      <c r="FL52" s="1325"/>
      <c r="FM52" s="1325"/>
      <c r="FN52" s="1325"/>
      <c r="FO52" s="1325"/>
      <c r="FP52" s="1325"/>
      <c r="FQ52" s="1325"/>
      <c r="FR52" s="1325"/>
      <c r="FS52" s="1325"/>
      <c r="FT52" s="1325"/>
      <c r="FU52" s="1325"/>
      <c r="FV52" s="1325"/>
      <c r="FW52" s="1325"/>
      <c r="FX52" s="1325"/>
      <c r="FY52" s="1325"/>
      <c r="FZ52" s="1325"/>
      <c r="GA52" s="1325"/>
      <c r="GB52" s="1325"/>
      <c r="GC52" s="1325"/>
      <c r="GD52" s="1325"/>
      <c r="GE52" s="1325"/>
      <c r="GF52" s="1325"/>
      <c r="GG52" s="1325"/>
      <c r="GH52" s="1325"/>
      <c r="GI52" s="1325"/>
      <c r="GJ52" s="1325"/>
      <c r="GK52" s="1325"/>
      <c r="GL52" s="1325"/>
      <c r="GM52" s="1325"/>
      <c r="GN52" s="1325"/>
      <c r="GO52" s="1325"/>
      <c r="GP52" s="1325"/>
      <c r="GQ52" s="1325"/>
      <c r="GR52" s="1325"/>
      <c r="GS52" s="1325"/>
      <c r="GT52" s="1325"/>
      <c r="GU52" s="1325"/>
      <c r="GV52" s="1325"/>
      <c r="GW52" s="1325"/>
      <c r="GX52" s="1325"/>
      <c r="GY52" s="1325"/>
      <c r="GZ52" s="1325"/>
      <c r="HA52" s="1325"/>
      <c r="HB52" s="1325"/>
      <c r="HC52" s="1325"/>
      <c r="HD52" s="1325"/>
      <c r="HE52" s="1325"/>
      <c r="HF52" s="1325"/>
      <c r="HG52" s="1325"/>
      <c r="HH52" s="1325"/>
      <c r="HI52" s="1325"/>
      <c r="HJ52" s="1325"/>
      <c r="HK52" s="1325"/>
      <c r="HL52" s="1325"/>
      <c r="HM52" s="1325"/>
      <c r="HN52" s="1325"/>
      <c r="HO52" s="1325"/>
      <c r="HP52" s="1325"/>
      <c r="HQ52" s="1325"/>
      <c r="HR52" s="1325"/>
      <c r="HS52" s="1325"/>
      <c r="HT52" s="1325"/>
      <c r="HU52" s="1325"/>
      <c r="HV52" s="1325"/>
      <c r="HW52" s="1325"/>
      <c r="HX52" s="1325"/>
      <c r="HY52" s="1325"/>
      <c r="HZ52" s="1325"/>
      <c r="IA52" s="1325"/>
      <c r="IB52" s="1325"/>
      <c r="IC52" s="1325"/>
      <c r="ID52" s="1325"/>
      <c r="IE52" s="1325"/>
      <c r="IF52" s="1325"/>
      <c r="IG52" s="1325"/>
      <c r="IH52" s="1325"/>
      <c r="II52" s="1325"/>
      <c r="IJ52" s="1325"/>
      <c r="IK52" s="1325"/>
      <c r="IL52" s="1325"/>
      <c r="IM52" s="1325"/>
      <c r="IN52" s="1325"/>
      <c r="IO52" s="1325"/>
      <c r="IP52" s="1325"/>
      <c r="IQ52" s="1325"/>
      <c r="IR52" s="1325"/>
      <c r="IS52" s="1325"/>
      <c r="IT52" s="1325"/>
      <c r="IU52" s="1325"/>
      <c r="IV52" s="1325"/>
    </row>
    <row r="53" spans="1:256" ht="48" customHeight="1">
      <c r="A53" s="1365" t="s">
        <v>848</v>
      </c>
      <c r="B53" s="1366" t="s">
        <v>849</v>
      </c>
      <c r="C53" s="1367"/>
      <c r="D53" s="1367"/>
      <c r="E53" s="1325"/>
      <c r="F53" s="1325"/>
      <c r="G53" s="1325"/>
      <c r="H53" s="1325"/>
      <c r="I53" s="1325"/>
      <c r="J53" s="1325"/>
      <c r="K53" s="1325"/>
      <c r="L53" s="1325"/>
      <c r="M53" s="1325"/>
      <c r="N53" s="1325"/>
      <c r="O53" s="1325"/>
      <c r="P53" s="1325"/>
      <c r="Q53" s="1325"/>
      <c r="R53" s="1325"/>
      <c r="S53" s="1325"/>
      <c r="T53" s="1325"/>
      <c r="U53" s="1325"/>
      <c r="V53" s="1325"/>
      <c r="W53" s="1325"/>
      <c r="X53" s="1325"/>
      <c r="Y53" s="1325"/>
      <c r="Z53" s="1325"/>
      <c r="AA53" s="1325"/>
      <c r="AB53" s="1325"/>
      <c r="AC53" s="1325"/>
      <c r="AD53" s="1325"/>
      <c r="AE53" s="1325"/>
      <c r="AF53" s="1325"/>
      <c r="AG53" s="1325"/>
      <c r="AH53" s="1325"/>
      <c r="AI53" s="1325"/>
      <c r="AJ53" s="1325"/>
      <c r="AK53" s="1325"/>
      <c r="AL53" s="1325"/>
      <c r="AM53" s="1325"/>
      <c r="AN53" s="1325"/>
      <c r="AO53" s="1325"/>
      <c r="AP53" s="1325"/>
      <c r="AQ53" s="1325"/>
      <c r="AR53" s="1325"/>
      <c r="AS53" s="1325"/>
      <c r="AT53" s="1325"/>
      <c r="AU53" s="1325"/>
      <c r="AV53" s="1325"/>
      <c r="AW53" s="1325"/>
      <c r="AX53" s="1325"/>
      <c r="AY53" s="1325"/>
      <c r="AZ53" s="1325"/>
      <c r="BA53" s="1325"/>
      <c r="BB53" s="1325"/>
      <c r="BC53" s="1325"/>
      <c r="BD53" s="1325"/>
      <c r="BE53" s="1325"/>
      <c r="BF53" s="1325"/>
      <c r="BG53" s="1325"/>
      <c r="BH53" s="1325"/>
      <c r="BI53" s="1325"/>
      <c r="BJ53" s="1325"/>
      <c r="BK53" s="1325"/>
      <c r="BL53" s="1325"/>
      <c r="BM53" s="1325"/>
      <c r="BN53" s="1325"/>
      <c r="BO53" s="1325"/>
      <c r="BP53" s="1325"/>
      <c r="BQ53" s="1325"/>
      <c r="BR53" s="1325"/>
      <c r="BS53" s="1325"/>
      <c r="BT53" s="1325"/>
      <c r="BU53" s="1325"/>
      <c r="BV53" s="1325"/>
      <c r="BW53" s="1325"/>
      <c r="BX53" s="1325"/>
      <c r="BY53" s="1325"/>
      <c r="BZ53" s="1325"/>
      <c r="CA53" s="1325"/>
      <c r="CB53" s="1325"/>
      <c r="CC53" s="1325"/>
      <c r="CD53" s="1325"/>
      <c r="CE53" s="1325"/>
      <c r="CF53" s="1325"/>
      <c r="CG53" s="1325"/>
      <c r="CH53" s="1325"/>
      <c r="CI53" s="1325"/>
      <c r="CJ53" s="1325"/>
      <c r="CK53" s="1325"/>
      <c r="CL53" s="1325"/>
      <c r="CM53" s="1325"/>
      <c r="CN53" s="1325"/>
      <c r="CO53" s="1325"/>
      <c r="CP53" s="1325"/>
      <c r="CQ53" s="1325"/>
      <c r="CR53" s="1325"/>
      <c r="CS53" s="1325"/>
      <c r="CT53" s="1325"/>
      <c r="CU53" s="1325"/>
      <c r="CV53" s="1325"/>
      <c r="CW53" s="1325"/>
      <c r="CX53" s="1325"/>
      <c r="CY53" s="1325"/>
      <c r="CZ53" s="1325"/>
      <c r="DA53" s="1325"/>
      <c r="DB53" s="1325"/>
      <c r="DC53" s="1325"/>
      <c r="DD53" s="1325"/>
      <c r="DE53" s="1325"/>
      <c r="DF53" s="1325"/>
      <c r="DG53" s="1325"/>
      <c r="DH53" s="1325"/>
      <c r="DI53" s="1325"/>
      <c r="DJ53" s="1325"/>
      <c r="DK53" s="1325"/>
      <c r="DL53" s="1325"/>
      <c r="DM53" s="1325"/>
      <c r="DN53" s="1325"/>
      <c r="DO53" s="1325"/>
      <c r="DP53" s="1325"/>
      <c r="DQ53" s="1325"/>
      <c r="DR53" s="1325"/>
      <c r="DS53" s="1325"/>
      <c r="DT53" s="1325"/>
      <c r="DU53" s="1325"/>
      <c r="DV53" s="1325"/>
      <c r="DW53" s="1325"/>
      <c r="DX53" s="1325"/>
      <c r="DY53" s="1325"/>
      <c r="DZ53" s="1325"/>
      <c r="EA53" s="1325"/>
      <c r="EB53" s="1325"/>
      <c r="EC53" s="1325"/>
      <c r="ED53" s="1325"/>
      <c r="EE53" s="1325"/>
      <c r="EF53" s="1325"/>
      <c r="EG53" s="1325"/>
      <c r="EH53" s="1325"/>
      <c r="EI53" s="1325"/>
      <c r="EJ53" s="1325"/>
      <c r="EK53" s="1325"/>
      <c r="EL53" s="1325"/>
      <c r="EM53" s="1325"/>
      <c r="EN53" s="1325"/>
      <c r="EO53" s="1325"/>
      <c r="EP53" s="1325"/>
      <c r="EQ53" s="1325"/>
      <c r="ER53" s="1325"/>
      <c r="ES53" s="1325"/>
      <c r="ET53" s="1325"/>
      <c r="EU53" s="1325"/>
      <c r="EV53" s="1325"/>
      <c r="EW53" s="1325"/>
      <c r="EX53" s="1325"/>
      <c r="EY53" s="1325"/>
      <c r="EZ53" s="1325"/>
      <c r="FA53" s="1325"/>
      <c r="FB53" s="1325"/>
      <c r="FC53" s="1325"/>
      <c r="FD53" s="1325"/>
      <c r="FE53" s="1325"/>
      <c r="FF53" s="1325"/>
      <c r="FG53" s="1325"/>
      <c r="FH53" s="1325"/>
      <c r="FI53" s="1325"/>
      <c r="FJ53" s="1325"/>
      <c r="FK53" s="1325"/>
      <c r="FL53" s="1325"/>
      <c r="FM53" s="1325"/>
      <c r="FN53" s="1325"/>
      <c r="FO53" s="1325"/>
      <c r="FP53" s="1325"/>
      <c r="FQ53" s="1325"/>
      <c r="FR53" s="1325"/>
      <c r="FS53" s="1325"/>
      <c r="FT53" s="1325"/>
      <c r="FU53" s="1325"/>
      <c r="FV53" s="1325"/>
      <c r="FW53" s="1325"/>
      <c r="FX53" s="1325"/>
      <c r="FY53" s="1325"/>
      <c r="FZ53" s="1325"/>
      <c r="GA53" s="1325"/>
      <c r="GB53" s="1325"/>
      <c r="GC53" s="1325"/>
      <c r="GD53" s="1325"/>
      <c r="GE53" s="1325"/>
      <c r="GF53" s="1325"/>
      <c r="GG53" s="1325"/>
      <c r="GH53" s="1325"/>
      <c r="GI53" s="1325"/>
      <c r="GJ53" s="1325"/>
      <c r="GK53" s="1325"/>
      <c r="GL53" s="1325"/>
      <c r="GM53" s="1325"/>
      <c r="GN53" s="1325"/>
      <c r="GO53" s="1325"/>
      <c r="GP53" s="1325"/>
      <c r="GQ53" s="1325"/>
      <c r="GR53" s="1325"/>
      <c r="GS53" s="1325"/>
      <c r="GT53" s="1325"/>
      <c r="GU53" s="1325"/>
      <c r="GV53" s="1325"/>
      <c r="GW53" s="1325"/>
      <c r="GX53" s="1325"/>
      <c r="GY53" s="1325"/>
      <c r="GZ53" s="1325"/>
      <c r="HA53" s="1325"/>
      <c r="HB53" s="1325"/>
      <c r="HC53" s="1325"/>
      <c r="HD53" s="1325"/>
      <c r="HE53" s="1325"/>
      <c r="HF53" s="1325"/>
      <c r="HG53" s="1325"/>
      <c r="HH53" s="1325"/>
      <c r="HI53" s="1325"/>
      <c r="HJ53" s="1325"/>
      <c r="HK53" s="1325"/>
      <c r="HL53" s="1325"/>
      <c r="HM53" s="1325"/>
      <c r="HN53" s="1325"/>
      <c r="HO53" s="1325"/>
      <c r="HP53" s="1325"/>
      <c r="HQ53" s="1325"/>
      <c r="HR53" s="1325"/>
      <c r="HS53" s="1325"/>
      <c r="HT53" s="1325"/>
      <c r="HU53" s="1325"/>
      <c r="HV53" s="1325"/>
      <c r="HW53" s="1325"/>
      <c r="HX53" s="1325"/>
      <c r="HY53" s="1325"/>
      <c r="HZ53" s="1325"/>
      <c r="IA53" s="1325"/>
      <c r="IB53" s="1325"/>
      <c r="IC53" s="1325"/>
      <c r="ID53" s="1325"/>
      <c r="IE53" s="1325"/>
      <c r="IF53" s="1325"/>
      <c r="IG53" s="1325"/>
      <c r="IH53" s="1325"/>
      <c r="II53" s="1325"/>
      <c r="IJ53" s="1325"/>
      <c r="IK53" s="1325"/>
      <c r="IL53" s="1325"/>
      <c r="IM53" s="1325"/>
      <c r="IN53" s="1325"/>
      <c r="IO53" s="1325"/>
      <c r="IP53" s="1325"/>
      <c r="IQ53" s="1325"/>
      <c r="IR53" s="1325"/>
      <c r="IS53" s="1325"/>
      <c r="IT53" s="1325"/>
      <c r="IU53" s="1325"/>
      <c r="IV53" s="1325"/>
    </row>
    <row r="54" spans="1:256" ht="48" customHeight="1">
      <c r="A54" s="1368" t="s">
        <v>850</v>
      </c>
      <c r="B54" s="1366" t="s">
        <v>851</v>
      </c>
      <c r="C54" s="1367"/>
      <c r="D54" s="1367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1325"/>
      <c r="AG54" s="1325"/>
      <c r="AH54" s="1325"/>
      <c r="AI54" s="1325"/>
      <c r="AJ54" s="1325"/>
      <c r="AK54" s="1325"/>
      <c r="AL54" s="1325"/>
      <c r="AM54" s="1325"/>
      <c r="AN54" s="1325"/>
      <c r="AO54" s="1325"/>
      <c r="AP54" s="1325"/>
      <c r="AQ54" s="1325"/>
      <c r="AR54" s="1325"/>
      <c r="AS54" s="1325"/>
      <c r="AT54" s="1325"/>
      <c r="AU54" s="1325"/>
      <c r="AV54" s="1325"/>
      <c r="AW54" s="1325"/>
      <c r="AX54" s="1325"/>
      <c r="AY54" s="1325"/>
      <c r="AZ54" s="1325"/>
      <c r="BA54" s="1325"/>
      <c r="BB54" s="1325"/>
      <c r="BC54" s="1325"/>
      <c r="BD54" s="1325"/>
      <c r="BE54" s="1325"/>
      <c r="BF54" s="1325"/>
      <c r="BG54" s="1325"/>
      <c r="BH54" s="1325"/>
      <c r="BI54" s="1325"/>
      <c r="BJ54" s="1325"/>
      <c r="BK54" s="1325"/>
      <c r="BL54" s="1325"/>
      <c r="BM54" s="1325"/>
      <c r="BN54" s="1325"/>
      <c r="BO54" s="1325"/>
      <c r="BP54" s="1325"/>
      <c r="BQ54" s="1325"/>
      <c r="BR54" s="1325"/>
      <c r="BS54" s="1325"/>
      <c r="BT54" s="1325"/>
      <c r="BU54" s="1325"/>
      <c r="BV54" s="1325"/>
      <c r="BW54" s="1325"/>
      <c r="BX54" s="1325"/>
      <c r="BY54" s="1325"/>
      <c r="BZ54" s="1325"/>
      <c r="CA54" s="1325"/>
      <c r="CB54" s="1325"/>
      <c r="CC54" s="1325"/>
      <c r="CD54" s="1325"/>
      <c r="CE54" s="1325"/>
      <c r="CF54" s="1325"/>
      <c r="CG54" s="1325"/>
      <c r="CH54" s="1325"/>
      <c r="CI54" s="1325"/>
      <c r="CJ54" s="1325"/>
      <c r="CK54" s="1325"/>
      <c r="CL54" s="1325"/>
      <c r="CM54" s="1325"/>
      <c r="CN54" s="1325"/>
      <c r="CO54" s="1325"/>
      <c r="CP54" s="1325"/>
      <c r="CQ54" s="1325"/>
      <c r="CR54" s="1325"/>
      <c r="CS54" s="1325"/>
      <c r="CT54" s="1325"/>
      <c r="CU54" s="1325"/>
      <c r="CV54" s="1325"/>
      <c r="CW54" s="1325"/>
      <c r="CX54" s="1325"/>
      <c r="CY54" s="1325"/>
      <c r="CZ54" s="1325"/>
      <c r="DA54" s="1325"/>
      <c r="DB54" s="1325"/>
      <c r="DC54" s="1325"/>
      <c r="DD54" s="1325"/>
      <c r="DE54" s="1325"/>
      <c r="DF54" s="1325"/>
      <c r="DG54" s="1325"/>
      <c r="DH54" s="1325"/>
      <c r="DI54" s="1325"/>
      <c r="DJ54" s="1325"/>
      <c r="DK54" s="1325"/>
      <c r="DL54" s="1325"/>
      <c r="DM54" s="1325"/>
      <c r="DN54" s="1325"/>
      <c r="DO54" s="1325"/>
      <c r="DP54" s="1325"/>
      <c r="DQ54" s="1325"/>
      <c r="DR54" s="1325"/>
      <c r="DS54" s="1325"/>
      <c r="DT54" s="1325"/>
      <c r="DU54" s="1325"/>
      <c r="DV54" s="1325"/>
      <c r="DW54" s="1325"/>
      <c r="DX54" s="1325"/>
      <c r="DY54" s="1325"/>
      <c r="DZ54" s="1325"/>
      <c r="EA54" s="1325"/>
      <c r="EB54" s="1325"/>
      <c r="EC54" s="1325"/>
      <c r="ED54" s="1325"/>
      <c r="EE54" s="1325"/>
      <c r="EF54" s="1325"/>
      <c r="EG54" s="1325"/>
      <c r="EH54" s="1325"/>
      <c r="EI54" s="1325"/>
      <c r="EJ54" s="1325"/>
      <c r="EK54" s="1325"/>
      <c r="EL54" s="1325"/>
      <c r="EM54" s="1325"/>
      <c r="EN54" s="1325"/>
      <c r="EO54" s="1325"/>
      <c r="EP54" s="1325"/>
      <c r="EQ54" s="1325"/>
      <c r="ER54" s="1325"/>
      <c r="ES54" s="1325"/>
      <c r="ET54" s="1325"/>
      <c r="EU54" s="1325"/>
      <c r="EV54" s="1325"/>
      <c r="EW54" s="1325"/>
      <c r="EX54" s="1325"/>
      <c r="EY54" s="1325"/>
      <c r="EZ54" s="1325"/>
      <c r="FA54" s="1325"/>
      <c r="FB54" s="1325"/>
      <c r="FC54" s="1325"/>
      <c r="FD54" s="1325"/>
      <c r="FE54" s="1325"/>
      <c r="FF54" s="1325"/>
      <c r="FG54" s="1325"/>
      <c r="FH54" s="1325"/>
      <c r="FI54" s="1325"/>
      <c r="FJ54" s="1325"/>
      <c r="FK54" s="1325"/>
      <c r="FL54" s="1325"/>
      <c r="FM54" s="1325"/>
      <c r="FN54" s="1325"/>
      <c r="FO54" s="1325"/>
      <c r="FP54" s="1325"/>
      <c r="FQ54" s="1325"/>
      <c r="FR54" s="1325"/>
      <c r="FS54" s="1325"/>
      <c r="FT54" s="1325"/>
      <c r="FU54" s="1325"/>
      <c r="FV54" s="1325"/>
      <c r="FW54" s="1325"/>
      <c r="FX54" s="1325"/>
      <c r="FY54" s="1325"/>
      <c r="FZ54" s="1325"/>
      <c r="GA54" s="1325"/>
      <c r="GB54" s="1325"/>
      <c r="GC54" s="1325"/>
      <c r="GD54" s="1325"/>
      <c r="GE54" s="1325"/>
      <c r="GF54" s="1325"/>
      <c r="GG54" s="1325"/>
      <c r="GH54" s="1325"/>
      <c r="GI54" s="1325"/>
      <c r="GJ54" s="1325"/>
      <c r="GK54" s="1325"/>
      <c r="GL54" s="1325"/>
      <c r="GM54" s="1325"/>
      <c r="GN54" s="1325"/>
      <c r="GO54" s="1325"/>
      <c r="GP54" s="1325"/>
      <c r="GQ54" s="1325"/>
      <c r="GR54" s="1325"/>
      <c r="GS54" s="1325"/>
      <c r="GT54" s="1325"/>
      <c r="GU54" s="1325"/>
      <c r="GV54" s="1325"/>
      <c r="GW54" s="1325"/>
      <c r="GX54" s="1325"/>
      <c r="GY54" s="1325"/>
      <c r="GZ54" s="1325"/>
      <c r="HA54" s="1325"/>
      <c r="HB54" s="1325"/>
      <c r="HC54" s="1325"/>
      <c r="HD54" s="1325"/>
      <c r="HE54" s="1325"/>
      <c r="HF54" s="1325"/>
      <c r="HG54" s="1325"/>
      <c r="HH54" s="1325"/>
      <c r="HI54" s="1325"/>
      <c r="HJ54" s="1325"/>
      <c r="HK54" s="1325"/>
      <c r="HL54" s="1325"/>
      <c r="HM54" s="1325"/>
      <c r="HN54" s="1325"/>
      <c r="HO54" s="1325"/>
      <c r="HP54" s="1325"/>
      <c r="HQ54" s="1325"/>
      <c r="HR54" s="1325"/>
      <c r="HS54" s="1325"/>
      <c r="HT54" s="1325"/>
      <c r="HU54" s="1325"/>
      <c r="HV54" s="1325"/>
      <c r="HW54" s="1325"/>
      <c r="HX54" s="1325"/>
      <c r="HY54" s="1325"/>
      <c r="HZ54" s="1325"/>
      <c r="IA54" s="1325"/>
      <c r="IB54" s="1325"/>
      <c r="IC54" s="1325"/>
      <c r="ID54" s="1325"/>
      <c r="IE54" s="1325"/>
      <c r="IF54" s="1325"/>
      <c r="IG54" s="1325"/>
      <c r="IH54" s="1325"/>
      <c r="II54" s="1325"/>
      <c r="IJ54" s="1325"/>
      <c r="IK54" s="1325"/>
      <c r="IL54" s="1325"/>
      <c r="IM54" s="1325"/>
      <c r="IN54" s="1325"/>
      <c r="IO54" s="1325"/>
      <c r="IP54" s="1325"/>
      <c r="IQ54" s="1325"/>
      <c r="IR54" s="1325"/>
      <c r="IS54" s="1325"/>
      <c r="IT54" s="1325"/>
      <c r="IU54" s="1325"/>
      <c r="IV54" s="1325"/>
    </row>
    <row r="55" spans="1:4" ht="48" customHeight="1">
      <c r="A55" s="1368" t="s">
        <v>852</v>
      </c>
      <c r="B55" s="1369" t="s">
        <v>853</v>
      </c>
      <c r="C55" s="1371">
        <f>SUM(C7+C12+C38+C54)</f>
        <v>38412387</v>
      </c>
      <c r="D55" s="1371">
        <f>SUM(D7+D12+D38+D54)</f>
        <v>1376785</v>
      </c>
    </row>
    <row r="56" spans="1:4" ht="48" customHeight="1">
      <c r="A56" s="1368" t="s">
        <v>854</v>
      </c>
      <c r="B56" s="1366" t="s">
        <v>855</v>
      </c>
      <c r="C56" s="1373">
        <v>291518</v>
      </c>
      <c r="D56" s="1373">
        <v>556707</v>
      </c>
    </row>
    <row r="57" spans="1:4" ht="48" customHeight="1">
      <c r="A57" s="1368" t="s">
        <v>856</v>
      </c>
      <c r="B57" s="1366" t="s">
        <v>857</v>
      </c>
      <c r="C57" s="1367"/>
      <c r="D57" s="1367"/>
    </row>
    <row r="58" spans="1:4" ht="48" customHeight="1">
      <c r="A58" s="1368" t="s">
        <v>858</v>
      </c>
      <c r="B58" s="1369" t="s">
        <v>859</v>
      </c>
      <c r="C58" s="1371"/>
      <c r="D58" s="1371"/>
    </row>
    <row r="59" spans="1:4" ht="48" customHeight="1">
      <c r="A59" s="1368" t="s">
        <v>860</v>
      </c>
      <c r="B59" s="1366" t="s">
        <v>861</v>
      </c>
      <c r="C59" s="1374"/>
      <c r="D59" s="1373"/>
    </row>
    <row r="60" spans="1:4" ht="48" customHeight="1">
      <c r="A60" s="1368" t="s">
        <v>862</v>
      </c>
      <c r="B60" s="1366" t="s">
        <v>863</v>
      </c>
      <c r="C60" s="1374"/>
      <c r="D60" s="1373"/>
    </row>
    <row r="61" spans="1:4" ht="48" customHeight="1">
      <c r="A61" s="1368" t="s">
        <v>864</v>
      </c>
      <c r="B61" s="1366" t="s">
        <v>865</v>
      </c>
      <c r="C61" s="1374"/>
      <c r="D61" s="1373">
        <v>2943811</v>
      </c>
    </row>
    <row r="62" spans="1:4" ht="48" customHeight="1">
      <c r="A62" s="1368" t="s">
        <v>866</v>
      </c>
      <c r="B62" s="1366" t="s">
        <v>867</v>
      </c>
      <c r="C62" s="1374"/>
      <c r="D62" s="1373"/>
    </row>
    <row r="63" spans="1:4" ht="48" customHeight="1">
      <c r="A63" s="1368" t="s">
        <v>868</v>
      </c>
      <c r="B63" s="1366" t="s">
        <v>869</v>
      </c>
      <c r="C63" s="1374"/>
      <c r="D63" s="1373"/>
    </row>
    <row r="64" spans="1:4" ht="48" customHeight="1">
      <c r="A64" s="1368" t="s">
        <v>870</v>
      </c>
      <c r="B64" s="1369" t="s">
        <v>871</v>
      </c>
      <c r="C64" s="1375"/>
      <c r="D64" s="1371">
        <f>SUM(D59:D63)</f>
        <v>2943811</v>
      </c>
    </row>
    <row r="65" spans="1:4" ht="48" customHeight="1">
      <c r="A65" s="1368" t="s">
        <v>872</v>
      </c>
      <c r="B65" s="1366" t="s">
        <v>873</v>
      </c>
      <c r="C65" s="1374"/>
      <c r="D65" s="1373">
        <v>75500</v>
      </c>
    </row>
    <row r="66" spans="1:4" ht="48" customHeight="1">
      <c r="A66" s="1368" t="s">
        <v>874</v>
      </c>
      <c r="B66" s="1366" t="s">
        <v>875</v>
      </c>
      <c r="C66" s="1374"/>
      <c r="D66" s="1373"/>
    </row>
    <row r="67" spans="1:4" ht="48" customHeight="1">
      <c r="A67" s="1368" t="s">
        <v>876</v>
      </c>
      <c r="B67" s="1366" t="s">
        <v>877</v>
      </c>
      <c r="C67" s="1374"/>
      <c r="D67" s="1373">
        <v>0</v>
      </c>
    </row>
    <row r="68" spans="1:4" ht="48" customHeight="1">
      <c r="A68" s="1368" t="s">
        <v>878</v>
      </c>
      <c r="B68" s="1369" t="s">
        <v>879</v>
      </c>
      <c r="C68" s="1375"/>
      <c r="D68" s="1371">
        <f>SUM(D65:D67)</f>
        <v>75500</v>
      </c>
    </row>
    <row r="69" spans="1:4" ht="48" customHeight="1">
      <c r="A69" s="1368" t="s">
        <v>880</v>
      </c>
      <c r="B69" s="1366" t="s">
        <v>881</v>
      </c>
      <c r="C69" s="1374"/>
      <c r="D69" s="1373"/>
    </row>
    <row r="70" spans="1:4" ht="48" customHeight="1">
      <c r="A70" s="1368" t="s">
        <v>882</v>
      </c>
      <c r="B70" s="1366" t="s">
        <v>883</v>
      </c>
      <c r="C70" s="1374"/>
      <c r="D70" s="1373"/>
    </row>
    <row r="71" spans="1:4" ht="48" customHeight="1">
      <c r="A71" s="1368" t="s">
        <v>884</v>
      </c>
      <c r="B71" s="1369" t="s">
        <v>885</v>
      </c>
      <c r="C71" s="1375"/>
      <c r="D71" s="1371">
        <v>101864</v>
      </c>
    </row>
    <row r="72" spans="1:4" ht="48" customHeight="1">
      <c r="A72" s="1368" t="s">
        <v>886</v>
      </c>
      <c r="B72" s="1369" t="s">
        <v>887</v>
      </c>
      <c r="C72" s="1374"/>
      <c r="D72" s="1373"/>
    </row>
    <row r="73" spans="1:4" ht="48" customHeight="1" thickBot="1">
      <c r="A73" s="1376" t="s">
        <v>888</v>
      </c>
      <c r="B73" s="1369" t="s">
        <v>889</v>
      </c>
      <c r="C73" s="1377"/>
      <c r="D73" s="1377">
        <f>SUM(D68+D64+D58+D55+D71+D72+D56)</f>
        <v>5054667</v>
      </c>
    </row>
    <row r="75" ht="48" customHeight="1" thickBot="1"/>
    <row r="76" spans="1:3" ht="48" customHeight="1">
      <c r="A76" s="2033" t="s">
        <v>890</v>
      </c>
      <c r="B76" s="2035" t="s">
        <v>5</v>
      </c>
      <c r="C76" s="2037" t="s">
        <v>891</v>
      </c>
    </row>
    <row r="77" spans="1:3" ht="48" customHeight="1">
      <c r="A77" s="2034"/>
      <c r="B77" s="2036"/>
      <c r="C77" s="2038"/>
    </row>
    <row r="78" spans="1:3" ht="48" customHeight="1" thickBot="1">
      <c r="A78" s="1343" t="s">
        <v>546</v>
      </c>
      <c r="B78" s="1344" t="s">
        <v>14</v>
      </c>
      <c r="C78" s="1345" t="s">
        <v>547</v>
      </c>
    </row>
    <row r="79" spans="1:3" ht="48" customHeight="1">
      <c r="A79" s="1346" t="s">
        <v>892</v>
      </c>
      <c r="B79" s="1347" t="s">
        <v>771</v>
      </c>
      <c r="C79" s="1348">
        <v>0</v>
      </c>
    </row>
    <row r="80" spans="1:3" ht="48" customHeight="1">
      <c r="A80" s="1346" t="s">
        <v>893</v>
      </c>
      <c r="B80" s="1349" t="s">
        <v>773</v>
      </c>
      <c r="C80" s="1348">
        <v>0</v>
      </c>
    </row>
    <row r="81" spans="1:3" ht="48" customHeight="1">
      <c r="A81" s="1346" t="s">
        <v>894</v>
      </c>
      <c r="B81" s="1349" t="s">
        <v>775</v>
      </c>
      <c r="C81" s="1348">
        <v>17445000</v>
      </c>
    </row>
    <row r="82" spans="1:3" ht="48" customHeight="1">
      <c r="A82" s="1346" t="s">
        <v>895</v>
      </c>
      <c r="B82" s="1349" t="s">
        <v>777</v>
      </c>
      <c r="C82" s="1348">
        <v>-18216116</v>
      </c>
    </row>
    <row r="83" spans="1:3" ht="48" customHeight="1">
      <c r="A83" s="1346" t="s">
        <v>896</v>
      </c>
      <c r="B83" s="1349" t="s">
        <v>779</v>
      </c>
      <c r="C83" s="1348">
        <v>0</v>
      </c>
    </row>
    <row r="84" spans="1:3" ht="48" customHeight="1">
      <c r="A84" s="1346" t="s">
        <v>897</v>
      </c>
      <c r="B84" s="1349" t="s">
        <v>781</v>
      </c>
      <c r="C84" s="1348">
        <v>-2479866</v>
      </c>
    </row>
    <row r="85" spans="1:3" ht="48" customHeight="1">
      <c r="A85" s="1346" t="s">
        <v>898</v>
      </c>
      <c r="B85" s="1351" t="s">
        <v>783</v>
      </c>
      <c r="C85" s="1352">
        <f>SUM(C79:C84)</f>
        <v>-3250982</v>
      </c>
    </row>
    <row r="86" spans="1:3" ht="48" customHeight="1">
      <c r="A86" s="1346" t="s">
        <v>899</v>
      </c>
      <c r="B86" s="1349" t="s">
        <v>785</v>
      </c>
      <c r="C86" s="1353"/>
    </row>
    <row r="87" spans="1:3" ht="48" customHeight="1">
      <c r="A87" s="1346" t="s">
        <v>900</v>
      </c>
      <c r="B87" s="1349" t="s">
        <v>787</v>
      </c>
      <c r="C87" s="1350">
        <v>0</v>
      </c>
    </row>
    <row r="88" spans="1:3" ht="48" customHeight="1">
      <c r="A88" s="1346" t="s">
        <v>901</v>
      </c>
      <c r="B88" s="1349" t="s">
        <v>384</v>
      </c>
      <c r="C88" s="1350"/>
    </row>
    <row r="89" spans="1:3" ht="48" customHeight="1">
      <c r="A89" s="1346" t="s">
        <v>902</v>
      </c>
      <c r="B89" s="1351" t="s">
        <v>404</v>
      </c>
      <c r="C89" s="1352">
        <f>C86+C87+C88</f>
        <v>0</v>
      </c>
    </row>
    <row r="90" spans="1:3" ht="48" customHeight="1">
      <c r="A90" s="1346" t="s">
        <v>903</v>
      </c>
      <c r="B90" s="1351" t="s">
        <v>405</v>
      </c>
      <c r="C90" s="1350"/>
    </row>
    <row r="91" spans="1:3" ht="48" customHeight="1">
      <c r="A91" s="1346" t="s">
        <v>904</v>
      </c>
      <c r="B91" s="1351" t="s">
        <v>407</v>
      </c>
      <c r="C91" s="1354">
        <v>8305649</v>
      </c>
    </row>
    <row r="92" spans="1:3" ht="48" customHeight="1" thickBot="1">
      <c r="A92" s="1355" t="s">
        <v>905</v>
      </c>
      <c r="B92" s="1356" t="s">
        <v>409</v>
      </c>
      <c r="C92" s="1357">
        <f>C85+C89+C90+C91</f>
        <v>5054667</v>
      </c>
    </row>
  </sheetData>
  <sheetProtection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7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BreakPreview" zoomScale="60" zoomScalePageLayoutView="0" workbookViewId="0" topLeftCell="A1">
      <selection activeCell="B3" sqref="B3"/>
    </sheetView>
  </sheetViews>
  <sheetFormatPr defaultColWidth="10.7109375" defaultRowHeight="51" customHeight="1"/>
  <cols>
    <col min="1" max="1" width="67.7109375" style="1380" customWidth="1"/>
    <col min="2" max="2" width="11.421875" style="1380" customWidth="1"/>
    <col min="3" max="3" width="12.7109375" style="1380" customWidth="1"/>
    <col min="4" max="4" width="22.421875" style="1380" customWidth="1"/>
    <col min="5" max="5" width="18.57421875" style="1380" customWidth="1"/>
    <col min="6" max="16384" width="10.7109375" style="1380" customWidth="1"/>
  </cols>
  <sheetData>
    <row r="1" spans="1:6" ht="51" customHeight="1">
      <c r="A1" s="2051" t="s">
        <v>907</v>
      </c>
      <c r="B1" s="2051"/>
      <c r="C1" s="2051"/>
      <c r="D1" s="2051"/>
      <c r="E1" s="2051"/>
      <c r="F1" s="1379"/>
    </row>
    <row r="2" spans="1:6" ht="23.25" customHeight="1" thickBot="1">
      <c r="A2" s="1381" t="s">
        <v>695</v>
      </c>
      <c r="B2" s="1379"/>
      <c r="C2" s="1379"/>
      <c r="D2" s="2052" t="s">
        <v>908</v>
      </c>
      <c r="E2" s="2052"/>
      <c r="F2" s="1379"/>
    </row>
    <row r="3" spans="1:6" ht="64.5" customHeight="1" thickBot="1">
      <c r="A3" s="1382" t="s">
        <v>3</v>
      </c>
      <c r="B3" s="1383" t="s">
        <v>5</v>
      </c>
      <c r="C3" s="1384" t="s">
        <v>909</v>
      </c>
      <c r="D3" s="1385" t="s">
        <v>910</v>
      </c>
      <c r="E3" s="1386" t="s">
        <v>911</v>
      </c>
      <c r="F3" s="1379"/>
    </row>
    <row r="4" spans="1:6" ht="51" customHeight="1" thickBot="1">
      <c r="A4" s="1387" t="s">
        <v>546</v>
      </c>
      <c r="B4" s="1388" t="s">
        <v>14</v>
      </c>
      <c r="C4" s="1388" t="s">
        <v>547</v>
      </c>
      <c r="D4" s="1389" t="s">
        <v>548</v>
      </c>
      <c r="E4" s="1390"/>
      <c r="F4" s="1379"/>
    </row>
    <row r="5" spans="1:6" ht="22.5" customHeight="1">
      <c r="A5" s="1391" t="s">
        <v>912</v>
      </c>
      <c r="B5" s="1392" t="s">
        <v>26</v>
      </c>
      <c r="C5" s="1393">
        <v>196</v>
      </c>
      <c r="D5" s="1394">
        <v>114361218</v>
      </c>
      <c r="E5" s="1395"/>
      <c r="F5" s="1379"/>
    </row>
    <row r="6" spans="1:6" ht="22.5" customHeight="1">
      <c r="A6" s="1391" t="s">
        <v>913</v>
      </c>
      <c r="B6" s="1396" t="s">
        <v>27</v>
      </c>
      <c r="C6" s="1397"/>
      <c r="D6" s="1398"/>
      <c r="E6" s="1399"/>
      <c r="F6" s="1379"/>
    </row>
    <row r="7" spans="1:6" ht="22.5" customHeight="1">
      <c r="A7" s="1391" t="s">
        <v>914</v>
      </c>
      <c r="B7" s="1392" t="s">
        <v>9</v>
      </c>
      <c r="C7" s="1397">
        <v>82</v>
      </c>
      <c r="D7" s="1394">
        <v>14099085</v>
      </c>
      <c r="E7" s="1399"/>
      <c r="F7" s="1379"/>
    </row>
    <row r="8" spans="1:6" ht="22.5" customHeight="1" thickBot="1">
      <c r="A8" s="1400" t="s">
        <v>915</v>
      </c>
      <c r="B8" s="1401" t="s">
        <v>10</v>
      </c>
      <c r="C8" s="1402"/>
      <c r="D8" s="1403"/>
      <c r="E8" s="1404"/>
      <c r="F8" s="1379"/>
    </row>
    <row r="9" spans="1:6" ht="22.5" customHeight="1" thickBot="1">
      <c r="A9" s="1405" t="s">
        <v>916</v>
      </c>
      <c r="B9" s="1406" t="s">
        <v>11</v>
      </c>
      <c r="C9" s="1407">
        <f>SUM(C10:C13)</f>
        <v>4</v>
      </c>
      <c r="D9" s="1407">
        <f>SUM(D10:D13)</f>
        <v>54328871</v>
      </c>
      <c r="E9" s="1408">
        <f>SUM(E5:E8)</f>
        <v>0</v>
      </c>
      <c r="F9" s="1379"/>
    </row>
    <row r="10" spans="1:6" ht="22.5" customHeight="1">
      <c r="A10" s="1409" t="s">
        <v>917</v>
      </c>
      <c r="B10" s="1392" t="s">
        <v>12</v>
      </c>
      <c r="C10" s="1393">
        <v>4</v>
      </c>
      <c r="D10" s="1410">
        <v>54328871</v>
      </c>
      <c r="E10" s="1395"/>
      <c r="F10" s="1379"/>
    </row>
    <row r="11" spans="1:6" ht="22.5" customHeight="1">
      <c r="A11" s="1391" t="s">
        <v>918</v>
      </c>
      <c r="B11" s="1396" t="s">
        <v>13</v>
      </c>
      <c r="C11" s="1397"/>
      <c r="D11" s="1398"/>
      <c r="E11" s="1411"/>
      <c r="F11" s="1379"/>
    </row>
    <row r="12" spans="1:6" ht="22.5" customHeight="1">
      <c r="A12" s="1391" t="s">
        <v>919</v>
      </c>
      <c r="B12" s="1396" t="s">
        <v>56</v>
      </c>
      <c r="C12" s="1397"/>
      <c r="D12" s="1398"/>
      <c r="E12" s="1411"/>
      <c r="F12" s="1379"/>
    </row>
    <row r="13" spans="1:6" ht="22.5" customHeight="1" thickBot="1">
      <c r="A13" s="1400" t="s">
        <v>920</v>
      </c>
      <c r="B13" s="1401" t="s">
        <v>57</v>
      </c>
      <c r="C13" s="1402"/>
      <c r="D13" s="1403"/>
      <c r="E13" s="1412"/>
      <c r="F13" s="1379"/>
    </row>
    <row r="14" spans="1:6" ht="22.5" customHeight="1" thickBot="1">
      <c r="A14" s="1405" t="s">
        <v>921</v>
      </c>
      <c r="B14" s="1413" t="s">
        <v>384</v>
      </c>
      <c r="C14" s="1414"/>
      <c r="D14" s="1415">
        <f>+D15+D16+D17</f>
        <v>0</v>
      </c>
      <c r="E14" s="1390"/>
      <c r="F14" s="1379"/>
    </row>
    <row r="15" spans="1:6" ht="22.5" customHeight="1">
      <c r="A15" s="1409" t="s">
        <v>922</v>
      </c>
      <c r="B15" s="1392" t="s">
        <v>404</v>
      </c>
      <c r="C15" s="1393"/>
      <c r="D15" s="1410"/>
      <c r="E15" s="1416"/>
      <c r="F15" s="1379"/>
    </row>
    <row r="16" spans="1:6" ht="22.5" customHeight="1">
      <c r="A16" s="1391" t="s">
        <v>923</v>
      </c>
      <c r="B16" s="1396" t="s">
        <v>405</v>
      </c>
      <c r="C16" s="1397"/>
      <c r="D16" s="1398"/>
      <c r="E16" s="1411"/>
      <c r="F16" s="1379"/>
    </row>
    <row r="17" spans="1:6" ht="22.5" customHeight="1" thickBot="1">
      <c r="A17" s="1400" t="s">
        <v>924</v>
      </c>
      <c r="B17" s="1401" t="s">
        <v>407</v>
      </c>
      <c r="C17" s="1402"/>
      <c r="D17" s="1403"/>
      <c r="E17" s="1412"/>
      <c r="F17" s="1379"/>
    </row>
    <row r="18" spans="1:6" ht="22.5" customHeight="1" thickBot="1">
      <c r="A18" s="1405" t="s">
        <v>925</v>
      </c>
      <c r="B18" s="1413" t="s">
        <v>409</v>
      </c>
      <c r="C18" s="1414"/>
      <c r="D18" s="1415">
        <f>+D19+D20+D21</f>
        <v>0</v>
      </c>
      <c r="E18" s="1390"/>
      <c r="F18" s="1379"/>
    </row>
    <row r="19" spans="1:6" ht="22.5" customHeight="1">
      <c r="A19" s="1409" t="s">
        <v>926</v>
      </c>
      <c r="B19" s="1392" t="s">
        <v>411</v>
      </c>
      <c r="C19" s="1393"/>
      <c r="D19" s="1410"/>
      <c r="E19" s="1416"/>
      <c r="F19" s="1379"/>
    </row>
    <row r="20" spans="1:6" ht="22.5" customHeight="1">
      <c r="A20" s="1391" t="s">
        <v>927</v>
      </c>
      <c r="B20" s="1396" t="s">
        <v>557</v>
      </c>
      <c r="C20" s="1397"/>
      <c r="D20" s="1398"/>
      <c r="E20" s="1411"/>
      <c r="F20" s="1379"/>
    </row>
    <row r="21" spans="1:6" ht="22.5" customHeight="1">
      <c r="A21" s="1391" t="s">
        <v>928</v>
      </c>
      <c r="B21" s="1396" t="s">
        <v>558</v>
      </c>
      <c r="C21" s="1397"/>
      <c r="D21" s="1398"/>
      <c r="E21" s="1411"/>
      <c r="F21" s="1379"/>
    </row>
    <row r="22" spans="1:6" ht="22.5" customHeight="1">
      <c r="A22" s="1391" t="s">
        <v>929</v>
      </c>
      <c r="B22" s="1396" t="s">
        <v>676</v>
      </c>
      <c r="C22" s="1397"/>
      <c r="D22" s="1398"/>
      <c r="E22" s="1411"/>
      <c r="F22" s="1379"/>
    </row>
    <row r="23" spans="1:6" ht="22.5" customHeight="1">
      <c r="A23" s="1391"/>
      <c r="B23" s="1396" t="s">
        <v>608</v>
      </c>
      <c r="C23" s="1397"/>
      <c r="D23" s="1398"/>
      <c r="E23" s="1411"/>
      <c r="F23" s="1379"/>
    </row>
    <row r="24" spans="1:6" ht="22.5" customHeight="1">
      <c r="A24" s="1391"/>
      <c r="B24" s="1396" t="s">
        <v>677</v>
      </c>
      <c r="C24" s="1397"/>
      <c r="D24" s="1398"/>
      <c r="E24" s="1411"/>
      <c r="F24" s="1379"/>
    </row>
    <row r="25" spans="1:6" ht="22.5" customHeight="1">
      <c r="A25" s="1391"/>
      <c r="B25" s="1396" t="s">
        <v>678</v>
      </c>
      <c r="C25" s="1397"/>
      <c r="D25" s="1398"/>
      <c r="E25" s="1411"/>
      <c r="F25" s="1379"/>
    </row>
    <row r="26" spans="1:6" ht="22.5" customHeight="1">
      <c r="A26" s="1391"/>
      <c r="B26" s="1396" t="s">
        <v>679</v>
      </c>
      <c r="C26" s="1397"/>
      <c r="D26" s="1398"/>
      <c r="E26" s="1411"/>
      <c r="F26" s="1379"/>
    </row>
    <row r="27" spans="1:6" ht="22.5" customHeight="1">
      <c r="A27" s="1391"/>
      <c r="B27" s="1396" t="s">
        <v>680</v>
      </c>
      <c r="C27" s="1397"/>
      <c r="D27" s="1398"/>
      <c r="E27" s="1411"/>
      <c r="F27" s="1379"/>
    </row>
    <row r="28" spans="1:6" ht="22.5" customHeight="1">
      <c r="A28" s="1391"/>
      <c r="B28" s="1396" t="s">
        <v>803</v>
      </c>
      <c r="C28" s="1397"/>
      <c r="D28" s="1398"/>
      <c r="E28" s="1411"/>
      <c r="F28" s="1379"/>
    </row>
    <row r="29" spans="1:6" ht="22.5" customHeight="1">
      <c r="A29" s="1391"/>
      <c r="B29" s="1396" t="s">
        <v>805</v>
      </c>
      <c r="C29" s="1397"/>
      <c r="D29" s="1398"/>
      <c r="E29" s="1411"/>
      <c r="F29" s="1379"/>
    </row>
    <row r="30" spans="1:6" ht="22.5" customHeight="1">
      <c r="A30" s="1391"/>
      <c r="B30" s="1396" t="s">
        <v>807</v>
      </c>
      <c r="C30" s="1397"/>
      <c r="D30" s="1398"/>
      <c r="E30" s="1411"/>
      <c r="F30" s="1379"/>
    </row>
    <row r="31" spans="1:6" ht="22.5" customHeight="1">
      <c r="A31" s="1391"/>
      <c r="B31" s="1396" t="s">
        <v>809</v>
      </c>
      <c r="C31" s="1397"/>
      <c r="D31" s="1398"/>
      <c r="E31" s="1411"/>
      <c r="F31" s="1379"/>
    </row>
    <row r="32" spans="1:6" ht="22.5" customHeight="1">
      <c r="A32" s="1391"/>
      <c r="B32" s="1396" t="s">
        <v>811</v>
      </c>
      <c r="C32" s="1397"/>
      <c r="D32" s="1398"/>
      <c r="E32" s="1411"/>
      <c r="F32" s="1379"/>
    </row>
    <row r="33" spans="1:6" ht="22.5" customHeight="1">
      <c r="A33" s="1391"/>
      <c r="B33" s="1396" t="s">
        <v>813</v>
      </c>
      <c r="C33" s="1397"/>
      <c r="D33" s="1398"/>
      <c r="E33" s="1411"/>
      <c r="F33" s="1379"/>
    </row>
    <row r="34" spans="1:6" ht="22.5" customHeight="1">
      <c r="A34" s="1391"/>
      <c r="B34" s="1396" t="s">
        <v>815</v>
      </c>
      <c r="C34" s="1397"/>
      <c r="D34" s="1398"/>
      <c r="E34" s="1411"/>
      <c r="F34" s="1379"/>
    </row>
    <row r="35" spans="1:6" ht="22.5" customHeight="1">
      <c r="A35" s="1391"/>
      <c r="B35" s="1396" t="s">
        <v>817</v>
      </c>
      <c r="C35" s="1397"/>
      <c r="D35" s="1398"/>
      <c r="E35" s="1411"/>
      <c r="F35" s="1379"/>
    </row>
    <row r="36" spans="1:6" ht="22.5" customHeight="1">
      <c r="A36" s="1391"/>
      <c r="B36" s="1396" t="s">
        <v>819</v>
      </c>
      <c r="C36" s="1397"/>
      <c r="D36" s="1398"/>
      <c r="E36" s="1411"/>
      <c r="F36" s="1379"/>
    </row>
    <row r="37" spans="1:6" ht="22.5" customHeight="1" thickBot="1">
      <c r="A37" s="1400"/>
      <c r="B37" s="1401" t="s">
        <v>821</v>
      </c>
      <c r="C37" s="1402"/>
      <c r="D37" s="1403"/>
      <c r="E37" s="1412"/>
      <c r="F37" s="1379"/>
    </row>
    <row r="38" spans="1:6" ht="22.5" customHeight="1" thickBot="1">
      <c r="A38" s="2053" t="s">
        <v>930</v>
      </c>
      <c r="B38" s="2053"/>
      <c r="C38" s="1417"/>
      <c r="D38" s="1418">
        <f>SUM(D5+D6+D8+D9+D7)</f>
        <v>182789174</v>
      </c>
      <c r="E38" s="1419">
        <f>E9+E14+E18+E19+E20+E21+E22</f>
        <v>0</v>
      </c>
      <c r="F38" s="1420"/>
    </row>
  </sheetData>
  <sheetProtection/>
  <mergeCells count="3">
    <mergeCell ref="A1:E1"/>
    <mergeCell ref="D2:E2"/>
    <mergeCell ref="A38:B38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60" zoomScaleNormal="70" workbookViewId="0" topLeftCell="A1">
      <pane xSplit="4" ySplit="5" topLeftCell="N4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R61" sqref="R61"/>
    </sheetView>
  </sheetViews>
  <sheetFormatPr defaultColWidth="9.140625" defaultRowHeight="12.75"/>
  <cols>
    <col min="1" max="1" width="7.7109375" style="84" customWidth="1"/>
    <col min="2" max="2" width="3.8515625" style="91" customWidth="1"/>
    <col min="3" max="3" width="5.28125" style="91" customWidth="1"/>
    <col min="4" max="4" width="66.57421875" style="92" customWidth="1"/>
    <col min="5" max="5" width="27.28125" style="1" customWidth="1"/>
    <col min="6" max="6" width="30.8515625" style="1" hidden="1" customWidth="1"/>
    <col min="7" max="7" width="26.00390625" style="1" hidden="1" customWidth="1"/>
    <col min="8" max="8" width="28.7109375" style="1" customWidth="1"/>
    <col min="9" max="10" width="20.421875" style="1" customWidth="1"/>
    <col min="11" max="11" width="20.421875" style="47" customWidth="1"/>
    <col min="12" max="12" width="21.28125" style="47" hidden="1" customWidth="1"/>
    <col min="13" max="13" width="23.8515625" style="47" hidden="1" customWidth="1"/>
    <col min="14" max="15" width="22.8515625" style="47" customWidth="1"/>
    <col min="16" max="16" width="22.8515625" style="47" hidden="1" customWidth="1"/>
    <col min="17" max="18" width="22.8515625" style="47" customWidth="1"/>
    <col min="19" max="20" width="22.8515625" style="47" hidden="1" customWidth="1"/>
    <col min="21" max="24" width="22.8515625" style="47" customWidth="1"/>
    <col min="25" max="25" width="23.57421875" style="1" hidden="1" customWidth="1"/>
    <col min="26" max="26" width="28.00390625" style="1" hidden="1" customWidth="1"/>
    <col min="27" max="27" width="22.8515625" style="1" customWidth="1"/>
    <col min="28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864" t="s">
        <v>7</v>
      </c>
      <c r="B1" s="1864"/>
      <c r="C1" s="1864"/>
      <c r="D1" s="1864"/>
      <c r="E1" s="1864"/>
      <c r="F1" s="1864"/>
      <c r="G1" s="1864"/>
      <c r="H1" s="1864"/>
      <c r="I1" s="1864"/>
      <c r="J1" s="1864"/>
      <c r="K1" s="1864"/>
      <c r="L1" s="1864"/>
      <c r="M1" s="1864"/>
      <c r="N1" s="1864"/>
      <c r="O1" s="1864"/>
      <c r="P1" s="1864"/>
      <c r="Q1" s="1864"/>
      <c r="R1" s="1864"/>
      <c r="S1" s="1864"/>
      <c r="T1" s="1864"/>
      <c r="U1" s="1864"/>
      <c r="V1" s="1864"/>
      <c r="W1" s="1864"/>
      <c r="X1" s="1864"/>
    </row>
    <row r="2" spans="1:24" ht="14.25" customHeight="1" thickBot="1">
      <c r="A2" s="762" t="s">
        <v>193</v>
      </c>
      <c r="B2" s="762"/>
      <c r="C2" s="83"/>
      <c r="D2" s="102"/>
      <c r="X2" s="99" t="s">
        <v>445</v>
      </c>
    </row>
    <row r="3" spans="1:30" s="2" customFormat="1" ht="48.75" customHeight="1" thickBot="1">
      <c r="A3" s="1865" t="s">
        <v>3</v>
      </c>
      <c r="B3" s="1841"/>
      <c r="C3" s="1841"/>
      <c r="D3" s="1841"/>
      <c r="E3" s="385" t="s">
        <v>4</v>
      </c>
      <c r="F3" s="345"/>
      <c r="G3" s="345"/>
      <c r="H3" s="346"/>
      <c r="I3" s="751"/>
      <c r="J3" s="346"/>
      <c r="K3" s="385" t="s">
        <v>60</v>
      </c>
      <c r="L3" s="345"/>
      <c r="M3" s="345"/>
      <c r="N3" s="346"/>
      <c r="O3" s="751"/>
      <c r="P3" s="757"/>
      <c r="Q3" s="346"/>
      <c r="R3" s="385" t="s">
        <v>61</v>
      </c>
      <c r="S3" s="345"/>
      <c r="T3" s="345"/>
      <c r="U3" s="346"/>
      <c r="V3" s="751"/>
      <c r="W3" s="346"/>
      <c r="X3" s="1866" t="s">
        <v>65</v>
      </c>
      <c r="Y3" s="1867"/>
      <c r="Z3" s="1867"/>
      <c r="AA3" s="1867"/>
      <c r="AB3" s="1867"/>
      <c r="AC3" s="1867"/>
      <c r="AD3" s="1868"/>
    </row>
    <row r="4" spans="1:31" s="2" customFormat="1" ht="16.5" thickBot="1">
      <c r="A4" s="260"/>
      <c r="B4" s="258"/>
      <c r="C4" s="258"/>
      <c r="D4" s="258"/>
      <c r="E4" s="308" t="s">
        <v>64</v>
      </c>
      <c r="F4" s="309" t="s">
        <v>220</v>
      </c>
      <c r="G4" s="309" t="s">
        <v>223</v>
      </c>
      <c r="H4" s="310" t="s">
        <v>225</v>
      </c>
      <c r="I4" s="1719" t="s">
        <v>234</v>
      </c>
      <c r="J4" s="310" t="s">
        <v>229</v>
      </c>
      <c r="K4" s="308" t="s">
        <v>64</v>
      </c>
      <c r="L4" s="309" t="s">
        <v>220</v>
      </c>
      <c r="M4" s="309" t="s">
        <v>223</v>
      </c>
      <c r="N4" s="310" t="s">
        <v>225</v>
      </c>
      <c r="O4" s="1719" t="s">
        <v>234</v>
      </c>
      <c r="P4" s="309" t="s">
        <v>242</v>
      </c>
      <c r="Q4" s="310" t="s">
        <v>229</v>
      </c>
      <c r="R4" s="308" t="s">
        <v>64</v>
      </c>
      <c r="S4" s="309" t="s">
        <v>220</v>
      </c>
      <c r="T4" s="309" t="s">
        <v>223</v>
      </c>
      <c r="U4" s="310" t="s">
        <v>225</v>
      </c>
      <c r="V4" s="1166" t="s">
        <v>234</v>
      </c>
      <c r="W4" s="310" t="s">
        <v>229</v>
      </c>
      <c r="X4" s="308" t="s">
        <v>64</v>
      </c>
      <c r="Y4" s="309" t="s">
        <v>220</v>
      </c>
      <c r="Z4" s="309" t="s">
        <v>223</v>
      </c>
      <c r="AA4" s="309" t="s">
        <v>225</v>
      </c>
      <c r="AB4" s="309" t="s">
        <v>237</v>
      </c>
      <c r="AC4" s="309" t="s">
        <v>242</v>
      </c>
      <c r="AD4" s="310" t="s">
        <v>242</v>
      </c>
      <c r="AE4" s="749"/>
    </row>
    <row r="5" spans="1:30" s="46" customFormat="1" ht="33" customHeight="1" thickBot="1">
      <c r="A5" s="76" t="s">
        <v>26</v>
      </c>
      <c r="B5" s="1852" t="s">
        <v>77</v>
      </c>
      <c r="C5" s="1852"/>
      <c r="D5" s="1852"/>
      <c r="E5" s="311">
        <f aca="true" t="shared" si="0" ref="E5:P5">SUM(E6:E10)</f>
        <v>560825860</v>
      </c>
      <c r="F5" s="250">
        <f t="shared" si="0"/>
        <v>569229818</v>
      </c>
      <c r="G5" s="250">
        <f t="shared" si="0"/>
        <v>566250873</v>
      </c>
      <c r="H5" s="734">
        <f>SUM(H6:H10)</f>
        <v>679471534</v>
      </c>
      <c r="I5" s="1155">
        <f>SUM(I6:I10)</f>
        <v>523660121</v>
      </c>
      <c r="J5" s="1778">
        <f>SUM(I5/H5)</f>
        <v>0.7706873574485903</v>
      </c>
      <c r="K5" s="311">
        <f t="shared" si="0"/>
        <v>527378605</v>
      </c>
      <c r="L5" s="250">
        <f>SUM(L6:L10)</f>
        <v>528172563</v>
      </c>
      <c r="M5" s="250">
        <f>SUM(M6:M10)</f>
        <v>525193618</v>
      </c>
      <c r="N5" s="734">
        <f>SUM(N6:N10)</f>
        <v>643858431</v>
      </c>
      <c r="O5" s="1155">
        <f t="shared" si="0"/>
        <v>494513706</v>
      </c>
      <c r="P5" s="250">
        <f t="shared" si="0"/>
        <v>0.3636404473629301</v>
      </c>
      <c r="Q5" s="670">
        <f>O5/N5</f>
        <v>0.7680472634829876</v>
      </c>
      <c r="R5" s="311">
        <f aca="true" t="shared" si="1" ref="R5:Z5">SUM(R6:R10)</f>
        <v>33447255</v>
      </c>
      <c r="S5" s="250">
        <f>SUM(S6:S10)</f>
        <v>41057255</v>
      </c>
      <c r="T5" s="250">
        <f>SUM(T6:T10)</f>
        <v>41057255</v>
      </c>
      <c r="U5" s="734">
        <f>SUM(U6:U10)</f>
        <v>35613103</v>
      </c>
      <c r="V5" s="1155">
        <f>SUM(V6:V10)</f>
        <v>29146415</v>
      </c>
      <c r="W5" s="670">
        <f>V5/U5</f>
        <v>0.8184182939633202</v>
      </c>
      <c r="X5" s="311">
        <f t="shared" si="1"/>
        <v>0</v>
      </c>
      <c r="Y5" s="250">
        <f t="shared" si="1"/>
        <v>0</v>
      </c>
      <c r="Z5" s="250">
        <f t="shared" si="1"/>
        <v>0</v>
      </c>
      <c r="AA5" s="250">
        <f>SUM(AA6:AA10)</f>
        <v>0</v>
      </c>
      <c r="AB5" s="250">
        <f>SUM(AB6:AB10)</f>
        <v>5610894</v>
      </c>
      <c r="AC5" s="250">
        <f>SUM(AC6:AC10)</f>
        <v>0</v>
      </c>
      <c r="AD5" s="734">
        <f>SUM(AD6:AD10)</f>
        <v>0</v>
      </c>
    </row>
    <row r="6" spans="1:30" s="5" customFormat="1" ht="33" customHeight="1">
      <c r="A6" s="75"/>
      <c r="B6" s="80" t="s">
        <v>35</v>
      </c>
      <c r="C6" s="80"/>
      <c r="D6" s="302" t="s">
        <v>0</v>
      </c>
      <c r="E6" s="312">
        <f>'4.sz.m.ÖNK kiadás'!E7+'5.1 sz. m Köz Hiv'!D35+'5.2 sz. m ÁMK'!D38+'üres lap'!D27</f>
        <v>222688836</v>
      </c>
      <c r="F6" s="252">
        <f>'4.sz.m.ÖNK kiadás'!F7+'5.1 sz. m Köz Hiv'!E35+'5.2 sz. m ÁMK'!E38+'üres lap'!E27</f>
        <v>222688836</v>
      </c>
      <c r="G6" s="252">
        <f>'4.sz.m.ÖNK kiadás'!G7+'5.1 sz. m Köz Hiv'!F35+'5.2 sz. m ÁMK'!F38+'üres lap'!F27</f>
        <v>223920014</v>
      </c>
      <c r="H6" s="735">
        <f>'4.sz.m.ÖNK kiadás'!H7+'5.1 sz. m Köz Hiv'!G35+'5.2 sz. m ÁMK'!G38+'üres lap'!G27</f>
        <v>218225799</v>
      </c>
      <c r="I6" s="1167">
        <f>'4.sz.m.ÖNK kiadás'!I7+'5.1 sz. m Köz Hiv'!H35+'5.2 sz. m ÁMK'!H38+'üres lap'!H27</f>
        <v>214347531</v>
      </c>
      <c r="J6" s="1779">
        <f>SUM(I6/H6)</f>
        <v>0.9822281874197651</v>
      </c>
      <c r="K6" s="312">
        <f aca="true" t="shared" si="2" ref="K6:P13">E6-R6</f>
        <v>218453213</v>
      </c>
      <c r="L6" s="252">
        <f t="shared" si="2"/>
        <v>218453213</v>
      </c>
      <c r="M6" s="252">
        <f t="shared" si="2"/>
        <v>219684391</v>
      </c>
      <c r="N6" s="735">
        <f t="shared" si="2"/>
        <v>214320176</v>
      </c>
      <c r="O6" s="1167">
        <f t="shared" si="2"/>
        <v>210441908</v>
      </c>
      <c r="P6" s="252">
        <f t="shared" si="2"/>
        <v>-0.017771812580234858</v>
      </c>
      <c r="Q6" s="1781">
        <f>O6/N6</f>
        <v>0.9819043261703928</v>
      </c>
      <c r="R6" s="312">
        <f>'4.sz.m.ÖNK kiadás'!S7+'5.1 sz. m Köz Hiv'!S35</f>
        <v>4235623</v>
      </c>
      <c r="S6" s="252">
        <f>'4.sz.m.ÖNK kiadás'!T7+'5.1 sz. m Köz Hiv'!T35</f>
        <v>4235623</v>
      </c>
      <c r="T6" s="252">
        <f>'4.sz.m.ÖNK kiadás'!U7+'5.1 sz. m Köz Hiv'!U35</f>
        <v>4235623</v>
      </c>
      <c r="U6" s="735">
        <f>'4.sz.m.ÖNK kiadás'!V7+'5.1 sz. m Köz Hiv'!V35</f>
        <v>3905623</v>
      </c>
      <c r="V6" s="1718">
        <f>SUM('5.1 sz. m Köz Hiv'!W35+'4.sz.m.ÖNK kiadás'!W7)</f>
        <v>3905623</v>
      </c>
      <c r="W6" s="1781">
        <f>V6/U6</f>
        <v>1</v>
      </c>
      <c r="X6" s="312">
        <f>'5.1 sz. m Köz Hiv'!Y35</f>
        <v>0</v>
      </c>
      <c r="Y6" s="252">
        <f>'5.1 sz. m Köz Hiv'!Z35</f>
        <v>0</v>
      </c>
      <c r="Z6" s="252">
        <f>'5.1 sz. m Köz Hiv'!AA35</f>
        <v>0</v>
      </c>
      <c r="AA6" s="252">
        <f>'5.1 sz. m Köz Hiv'!AB35</f>
        <v>0</v>
      </c>
      <c r="AB6" s="252">
        <f>'5.1 sz. m Köz Hiv'!AC35</f>
        <v>3626473</v>
      </c>
      <c r="AC6" s="252">
        <f>'5.1 sz. m Köz Hiv'!AD35</f>
        <v>0</v>
      </c>
      <c r="AD6" s="735">
        <f>'5.1 sz. m Köz Hiv'!AG35</f>
        <v>0</v>
      </c>
    </row>
    <row r="7" spans="1:30" s="5" customFormat="1" ht="33" customHeight="1">
      <c r="A7" s="58"/>
      <c r="B7" s="67" t="s">
        <v>36</v>
      </c>
      <c r="C7" s="67"/>
      <c r="D7" s="303" t="s">
        <v>78</v>
      </c>
      <c r="E7" s="312">
        <f>'4.sz.m.ÖNK kiadás'!E8+'5.1 sz. m Köz Hiv'!D36+'5.2 sz. m ÁMK'!D39+'üres lap'!D28</f>
        <v>38852584</v>
      </c>
      <c r="F7" s="252">
        <f>'4.sz.m.ÖNK kiadás'!F8+'5.1 sz. m Köz Hiv'!E36+'5.2 sz. m ÁMK'!E39+'üres lap'!E28</f>
        <v>38852584</v>
      </c>
      <c r="G7" s="252">
        <f>'4.sz.m.ÖNK kiadás'!G8+'5.1 sz. m Köz Hiv'!F36+'5.2 sz. m ÁMK'!F39+'üres lap'!F28</f>
        <v>38957251</v>
      </c>
      <c r="H7" s="735">
        <f>'4.sz.m.ÖNK kiadás'!H8+'5.1 sz. m Köz Hiv'!G36+'5.2 sz. m ÁMK'!G39+'üres lap'!G28</f>
        <v>36670020</v>
      </c>
      <c r="I7" s="1167">
        <f>'4.sz.m.ÖNK kiadás'!I8+'5.1 sz. m Köz Hiv'!H36+'5.2 sz. m ÁMK'!H39+'üres lap'!H28</f>
        <v>34769315</v>
      </c>
      <c r="J7" s="1780">
        <f>SUM(I7/H7)</f>
        <v>0.9481673312422518</v>
      </c>
      <c r="K7" s="312">
        <f t="shared" si="2"/>
        <v>38159574</v>
      </c>
      <c r="L7" s="252">
        <f t="shared" si="2"/>
        <v>38159574</v>
      </c>
      <c r="M7" s="252">
        <f t="shared" si="2"/>
        <v>38264241</v>
      </c>
      <c r="N7" s="735">
        <f t="shared" si="2"/>
        <v>35939217</v>
      </c>
      <c r="O7" s="1167">
        <f t="shared" si="2"/>
        <v>34038512</v>
      </c>
      <c r="P7" s="252">
        <f t="shared" si="2"/>
        <v>-0.05183266875774817</v>
      </c>
      <c r="Q7" s="1782">
        <f>O7/N7</f>
        <v>0.9471133441777544</v>
      </c>
      <c r="R7" s="312">
        <f>'4.sz.m.ÖNK kiadás'!S8+'5.1 sz. m Köz Hiv'!S36</f>
        <v>693010</v>
      </c>
      <c r="S7" s="252">
        <f>'4.sz.m.ÖNK kiadás'!T8+'5.1 sz. m Köz Hiv'!T36</f>
        <v>693010</v>
      </c>
      <c r="T7" s="252">
        <f>'4.sz.m.ÖNK kiadás'!U8+'5.1 sz. m Köz Hiv'!U36</f>
        <v>693010</v>
      </c>
      <c r="U7" s="735">
        <f>'4.sz.m.ÖNK kiadás'!V8+'5.1 sz. m Köz Hiv'!V36</f>
        <v>730803</v>
      </c>
      <c r="V7" s="1718">
        <f>SUM('5.1 sz. m Köz Hiv'!W36+'4.sz.m.ÖNK kiadás'!W8)</f>
        <v>730803</v>
      </c>
      <c r="W7" s="1782">
        <f>V7/U7</f>
        <v>1</v>
      </c>
      <c r="X7" s="312">
        <f>'5.1 sz. m Köz Hiv'!Y36</f>
        <v>0</v>
      </c>
      <c r="Y7" s="252">
        <f>'5.1 sz. m Köz Hiv'!Z36</f>
        <v>0</v>
      </c>
      <c r="Z7" s="252">
        <f>'5.1 sz. m Köz Hiv'!AA36</f>
        <v>0</v>
      </c>
      <c r="AA7" s="252">
        <f>'5.1 sz. m Köz Hiv'!AB36</f>
        <v>0</v>
      </c>
      <c r="AB7" s="252">
        <f>'5.1 sz. m Köz Hiv'!AC36</f>
        <v>799596</v>
      </c>
      <c r="AC7" s="252">
        <f>'5.1 sz. m Köz Hiv'!AD36</f>
        <v>0</v>
      </c>
      <c r="AD7" s="735">
        <f>'5.1 sz. m Köz Hiv'!AG36</f>
        <v>0</v>
      </c>
    </row>
    <row r="8" spans="1:30" s="5" customFormat="1" ht="33" customHeight="1">
      <c r="A8" s="58"/>
      <c r="B8" s="67" t="s">
        <v>37</v>
      </c>
      <c r="C8" s="67"/>
      <c r="D8" s="303" t="s">
        <v>79</v>
      </c>
      <c r="E8" s="312">
        <f>'4.sz.m.ÖNK kiadás'!E9+'5.1 sz. m Köz Hiv'!D37+'5.2 sz. m ÁMK'!D40+'üres lap'!D29</f>
        <v>145494788</v>
      </c>
      <c r="F8" s="252">
        <f>'4.sz.m.ÖNK kiadás'!F9+'5.1 sz. m Köz Hiv'!E37+'5.2 sz. m ÁMK'!E40+'üres lap'!E29</f>
        <v>146164688</v>
      </c>
      <c r="G8" s="252">
        <f>'4.sz.m.ÖNK kiadás'!G9+'5.1 sz. m Köz Hiv'!F37+'5.2 sz. m ÁMK'!F40+'üres lap'!F29</f>
        <v>144823418</v>
      </c>
      <c r="H8" s="735">
        <f>'4.sz.m.ÖNK kiadás'!H9+'5.1 sz. m Köz Hiv'!G37+'5.2 sz. m ÁMK'!G40+'üres lap'!G29</f>
        <v>265634060</v>
      </c>
      <c r="I8" s="1167">
        <f>'4.sz.m.ÖNK kiadás'!I9+'5.1 sz. m Köz Hiv'!H37+'5.2 sz. m ÁMK'!H40+'üres lap'!H29</f>
        <v>116489620</v>
      </c>
      <c r="J8" s="1780">
        <f aca="true" t="shared" si="3" ref="J8:J13">SUM(I8/H8)</f>
        <v>0.43853420001938004</v>
      </c>
      <c r="K8" s="312">
        <f t="shared" si="2"/>
        <v>123925609</v>
      </c>
      <c r="L8" s="252">
        <f t="shared" si="2"/>
        <v>124595509</v>
      </c>
      <c r="M8" s="252">
        <f t="shared" si="2"/>
        <v>123254239</v>
      </c>
      <c r="N8" s="735">
        <f t="shared" si="2"/>
        <v>247498198</v>
      </c>
      <c r="O8" s="1167">
        <f t="shared" si="2"/>
        <v>104760446</v>
      </c>
      <c r="P8" s="252">
        <f t="shared" si="2"/>
        <v>-0.2082050616710761</v>
      </c>
      <c r="Q8" s="1782">
        <f aca="true" t="shared" si="4" ref="Q8:Q13">O8/N8</f>
        <v>0.4232776110959806</v>
      </c>
      <c r="R8" s="312">
        <f>'4.sz.m.ÖNK kiadás'!S9</f>
        <v>21569179</v>
      </c>
      <c r="S8" s="252">
        <f>'4.sz.m.ÖNK kiadás'!T9</f>
        <v>21569179</v>
      </c>
      <c r="T8" s="252">
        <f>'4.sz.m.ÖNK kiadás'!U9</f>
        <v>21569179</v>
      </c>
      <c r="U8" s="735">
        <f>'4.sz.m.ÖNK kiadás'!V9</f>
        <v>18135862</v>
      </c>
      <c r="V8" s="1167">
        <f>'4.sz.m.ÖNK kiadás'!W9</f>
        <v>11729174</v>
      </c>
      <c r="W8" s="1782">
        <f aca="true" t="shared" si="5" ref="W8:W13">V8/U8</f>
        <v>0.6467392616904561</v>
      </c>
      <c r="X8" s="312">
        <f>'5.1 sz. m Köz Hiv'!Y37</f>
        <v>0</v>
      </c>
      <c r="Y8" s="252">
        <f>'5.1 sz. m Köz Hiv'!Z37</f>
        <v>0</v>
      </c>
      <c r="Z8" s="252">
        <f>'5.1 sz. m Köz Hiv'!AA37</f>
        <v>0</v>
      </c>
      <c r="AA8" s="252">
        <f>'5.1 sz. m Köz Hiv'!AB37</f>
        <v>0</v>
      </c>
      <c r="AB8" s="252">
        <f>'5.1 sz. m Köz Hiv'!AC37</f>
        <v>1184825</v>
      </c>
      <c r="AC8" s="252">
        <f>'5.1 sz. m Köz Hiv'!AD37</f>
        <v>0</v>
      </c>
      <c r="AD8" s="735">
        <f>'5.1 sz. m Köz Hiv'!AG37</f>
        <v>0</v>
      </c>
    </row>
    <row r="9" spans="1:30" s="5" customFormat="1" ht="33" customHeight="1">
      <c r="A9" s="58"/>
      <c r="B9" s="67" t="s">
        <v>48</v>
      </c>
      <c r="C9" s="67"/>
      <c r="D9" s="303" t="s">
        <v>80</v>
      </c>
      <c r="E9" s="312">
        <f>'4.sz.m.ÖNK kiadás'!E10+'5.1 sz. m Köz Hiv'!D38+'5.2 sz. m ÁMK'!D41+'üres lap'!D30</f>
        <v>2250000</v>
      </c>
      <c r="F9" s="252">
        <f>'4.sz.m.ÖNK kiadás'!F10+'5.1 sz. m Köz Hiv'!E38+'5.2 sz. m ÁMK'!E41+'üres lap'!E30</f>
        <v>2250000</v>
      </c>
      <c r="G9" s="252">
        <f>'4.sz.m.ÖNK kiadás'!G10+'5.1 sz. m Köz Hiv'!F38+'5.2 sz. m ÁMK'!F41+'üres lap'!F30</f>
        <v>2250000</v>
      </c>
      <c r="H9" s="735">
        <f>'4.sz.m.ÖNK kiadás'!H10+'5.1 sz. m Köz Hiv'!G38+'5.2 sz. m ÁMK'!G41+'üres lap'!G30</f>
        <v>2282000</v>
      </c>
      <c r="I9" s="1167">
        <f>'4.sz.m.ÖNK kiadás'!I10+'5.1 sz. m Köz Hiv'!H38+'5.2 sz. m ÁMK'!H41+'üres lap'!H30</f>
        <v>1454000</v>
      </c>
      <c r="J9" s="1780">
        <f t="shared" si="3"/>
        <v>0.6371603856266433</v>
      </c>
      <c r="K9" s="312">
        <f t="shared" si="2"/>
        <v>2250000</v>
      </c>
      <c r="L9" s="252">
        <f t="shared" si="2"/>
        <v>2250000</v>
      </c>
      <c r="M9" s="252">
        <f t="shared" si="2"/>
        <v>2250000</v>
      </c>
      <c r="N9" s="735">
        <f t="shared" si="2"/>
        <v>2282000</v>
      </c>
      <c r="O9" s="1167">
        <f t="shared" si="2"/>
        <v>1454000</v>
      </c>
      <c r="P9" s="252">
        <f t="shared" si="2"/>
        <v>0.6371603856266433</v>
      </c>
      <c r="Q9" s="1782">
        <f t="shared" si="4"/>
        <v>0.6371603856266433</v>
      </c>
      <c r="R9" s="312">
        <f>'4.sz.m.ÖNK kiadás'!S10</f>
        <v>0</v>
      </c>
      <c r="S9" s="252">
        <f>'4.sz.m.ÖNK kiadás'!T10</f>
        <v>0</v>
      </c>
      <c r="T9" s="252">
        <f>'4.sz.m.ÖNK kiadás'!U10</f>
        <v>0</v>
      </c>
      <c r="U9" s="735">
        <f>'4.sz.m.ÖNK kiadás'!V10</f>
        <v>0</v>
      </c>
      <c r="V9" s="1167">
        <f>'4.sz.m.ÖNK kiadás'!W10</f>
        <v>0</v>
      </c>
      <c r="W9" s="1782"/>
      <c r="X9" s="312">
        <v>0</v>
      </c>
      <c r="Y9" s="252"/>
      <c r="Z9" s="252"/>
      <c r="AA9" s="252"/>
      <c r="AB9" s="252"/>
      <c r="AC9" s="252"/>
      <c r="AD9" s="735"/>
    </row>
    <row r="10" spans="1:30" s="5" customFormat="1" ht="33" customHeight="1">
      <c r="A10" s="58"/>
      <c r="B10" s="67" t="s">
        <v>49</v>
      </c>
      <c r="C10" s="67"/>
      <c r="D10" s="304" t="s">
        <v>82</v>
      </c>
      <c r="E10" s="312">
        <f>SUM(E11:E15)</f>
        <v>151539652</v>
      </c>
      <c r="F10" s="252">
        <f>SUM(F11:F15)</f>
        <v>159273710</v>
      </c>
      <c r="G10" s="252">
        <f>SUM(G11:G15)</f>
        <v>156300190</v>
      </c>
      <c r="H10" s="735">
        <f>SUM(H11:H15)</f>
        <v>156659655</v>
      </c>
      <c r="I10" s="1167">
        <f>SUM(I11:I15)</f>
        <v>156599655</v>
      </c>
      <c r="J10" s="1780">
        <f t="shared" si="3"/>
        <v>0.9996170041354936</v>
      </c>
      <c r="K10" s="312">
        <f t="shared" si="2"/>
        <v>144590209</v>
      </c>
      <c r="L10" s="252">
        <f t="shared" si="2"/>
        <v>144714267</v>
      </c>
      <c r="M10" s="252">
        <f t="shared" si="2"/>
        <v>141740747</v>
      </c>
      <c r="N10" s="735">
        <f t="shared" si="2"/>
        <v>143818840</v>
      </c>
      <c r="O10" s="1167">
        <f t="shared" si="2"/>
        <v>143818840</v>
      </c>
      <c r="P10" s="252">
        <f t="shared" si="2"/>
        <v>0.0042896047453458985</v>
      </c>
      <c r="Q10" s="1782">
        <f t="shared" si="4"/>
        <v>1</v>
      </c>
      <c r="R10" s="312">
        <f>'4.sz.m.ÖNK kiadás'!S11</f>
        <v>6949443</v>
      </c>
      <c r="S10" s="252">
        <f>'4.sz.m.ÖNK kiadás'!T11</f>
        <v>14559443</v>
      </c>
      <c r="T10" s="252">
        <f>'4.sz.m.ÖNK kiadás'!U11</f>
        <v>14559443</v>
      </c>
      <c r="U10" s="735">
        <f>'4.sz.m.ÖNK kiadás'!V11</f>
        <v>12840815</v>
      </c>
      <c r="V10" s="1167">
        <f>'4.sz.m.ÖNK kiadás'!W11</f>
        <v>12780815</v>
      </c>
      <c r="W10" s="1782">
        <f t="shared" si="5"/>
        <v>0.9953273993901477</v>
      </c>
      <c r="X10" s="312">
        <v>0</v>
      </c>
      <c r="Y10" s="252"/>
      <c r="Z10" s="252"/>
      <c r="AA10" s="252"/>
      <c r="AB10" s="252"/>
      <c r="AC10" s="252"/>
      <c r="AD10" s="735"/>
    </row>
    <row r="11" spans="1:30" s="5" customFormat="1" ht="33" customHeight="1">
      <c r="A11" s="58"/>
      <c r="B11" s="90"/>
      <c r="C11" s="67" t="s">
        <v>81</v>
      </c>
      <c r="D11" s="305" t="s">
        <v>266</v>
      </c>
      <c r="E11" s="312">
        <f>'4.sz.m.ÖNK kiadás'!E12</f>
        <v>0</v>
      </c>
      <c r="F11" s="252">
        <f>'4.sz.m.ÖNK kiadás'!F12</f>
        <v>124058</v>
      </c>
      <c r="G11" s="252">
        <f>'4.sz.m.ÖNK kiadás'!G12</f>
        <v>124058</v>
      </c>
      <c r="H11" s="735">
        <f>'4.sz.m.ÖNK kiadás'!H12</f>
        <v>124058</v>
      </c>
      <c r="I11" s="1167">
        <f>'4.sz.m.ÖNK kiadás'!I12</f>
        <v>124058</v>
      </c>
      <c r="J11" s="1780">
        <f t="shared" si="3"/>
        <v>1</v>
      </c>
      <c r="K11" s="312">
        <f t="shared" si="2"/>
        <v>0</v>
      </c>
      <c r="L11" s="252">
        <f t="shared" si="2"/>
        <v>124058</v>
      </c>
      <c r="M11" s="252">
        <f t="shared" si="2"/>
        <v>124058</v>
      </c>
      <c r="N11" s="735">
        <f t="shared" si="2"/>
        <v>124058</v>
      </c>
      <c r="O11" s="1167">
        <f t="shared" si="2"/>
        <v>124058</v>
      </c>
      <c r="P11" s="252">
        <f t="shared" si="2"/>
        <v>1</v>
      </c>
      <c r="Q11" s="1782">
        <f t="shared" si="4"/>
        <v>1</v>
      </c>
      <c r="R11" s="312">
        <f>'4.sz.m.ÖNK kiadás'!S12</f>
        <v>0</v>
      </c>
      <c r="S11" s="252">
        <f>'4.sz.m.ÖNK kiadás'!T12</f>
        <v>0</v>
      </c>
      <c r="T11" s="252">
        <f>'4.sz.m.ÖNK kiadás'!U12</f>
        <v>0</v>
      </c>
      <c r="U11" s="735">
        <f>'4.sz.m.ÖNK kiadás'!V12</f>
        <v>0</v>
      </c>
      <c r="V11" s="1167">
        <f>'4.sz.m.ÖNK kiadás'!W12</f>
        <v>0</v>
      </c>
      <c r="W11" s="1782"/>
      <c r="X11" s="312">
        <v>0</v>
      </c>
      <c r="Y11" s="252"/>
      <c r="Z11" s="252"/>
      <c r="AA11" s="252"/>
      <c r="AB11" s="252"/>
      <c r="AC11" s="252"/>
      <c r="AD11" s="735"/>
    </row>
    <row r="12" spans="1:30" s="5" customFormat="1" ht="57.75" customHeight="1">
      <c r="A12" s="58"/>
      <c r="B12" s="67"/>
      <c r="C12" s="67" t="s">
        <v>83</v>
      </c>
      <c r="D12" s="303" t="s">
        <v>267</v>
      </c>
      <c r="E12" s="312">
        <f>'4.sz.m.ÖNK kiadás'!E13</f>
        <v>5574495</v>
      </c>
      <c r="F12" s="252">
        <f>'4.sz.m.ÖNK kiadás'!F13</f>
        <v>13184495</v>
      </c>
      <c r="G12" s="252">
        <f>'4.sz.m.ÖNK kiadás'!G13</f>
        <v>13184495</v>
      </c>
      <c r="H12" s="735">
        <f>'4.sz.m.ÖNK kiadás'!H13</f>
        <v>12608525</v>
      </c>
      <c r="I12" s="1167">
        <f>'4.sz.m.ÖNK kiadás'!I13</f>
        <v>12548525</v>
      </c>
      <c r="J12" s="1780">
        <f t="shared" si="3"/>
        <v>0.9952413149040035</v>
      </c>
      <c r="K12" s="312">
        <f t="shared" si="2"/>
        <v>0</v>
      </c>
      <c r="L12" s="252">
        <f t="shared" si="2"/>
        <v>0</v>
      </c>
      <c r="M12" s="252">
        <f t="shared" si="2"/>
        <v>0</v>
      </c>
      <c r="N12" s="735">
        <f t="shared" si="2"/>
        <v>0</v>
      </c>
      <c r="O12" s="1167">
        <f t="shared" si="2"/>
        <v>0</v>
      </c>
      <c r="P12" s="252">
        <f t="shared" si="2"/>
        <v>0</v>
      </c>
      <c r="Q12" s="675"/>
      <c r="R12" s="312">
        <f>'4.sz.m.ÖNK kiadás'!S13</f>
        <v>5574495</v>
      </c>
      <c r="S12" s="252">
        <f>'4.sz.m.ÖNK kiadás'!T13</f>
        <v>13184495</v>
      </c>
      <c r="T12" s="252">
        <f>'4.sz.m.ÖNK kiadás'!U13</f>
        <v>13184495</v>
      </c>
      <c r="U12" s="735">
        <f>'4.sz.m.ÖNK kiadás'!V13</f>
        <v>12608525</v>
      </c>
      <c r="V12" s="1167">
        <f>'4.sz.m.ÖNK kiadás'!W13</f>
        <v>12548525</v>
      </c>
      <c r="W12" s="1782">
        <f t="shared" si="5"/>
        <v>0.9952413149040035</v>
      </c>
      <c r="X12" s="312">
        <v>0</v>
      </c>
      <c r="Y12" s="252"/>
      <c r="Z12" s="252"/>
      <c r="AA12" s="252"/>
      <c r="AB12" s="252"/>
      <c r="AC12" s="252"/>
      <c r="AD12" s="735"/>
    </row>
    <row r="13" spans="1:30" s="5" customFormat="1" ht="54.75" customHeight="1" thickBot="1">
      <c r="A13" s="86"/>
      <c r="B13" s="87"/>
      <c r="C13" s="67" t="s">
        <v>84</v>
      </c>
      <c r="D13" s="303" t="s">
        <v>268</v>
      </c>
      <c r="E13" s="312">
        <f>'4.sz.m.ÖNK kiadás'!E14</f>
        <v>145965157</v>
      </c>
      <c r="F13" s="252">
        <f>'4.sz.m.ÖNK kiadás'!F14</f>
        <v>145965157</v>
      </c>
      <c r="G13" s="252">
        <f>'4.sz.m.ÖNK kiadás'!G14</f>
        <v>142991637</v>
      </c>
      <c r="H13" s="735">
        <f>'4.sz.m.ÖNK kiadás'!H14</f>
        <v>143927072</v>
      </c>
      <c r="I13" s="1167">
        <f>'4.sz.m.ÖNK kiadás'!I14</f>
        <v>143927072</v>
      </c>
      <c r="J13" s="1780">
        <f t="shared" si="3"/>
        <v>1</v>
      </c>
      <c r="K13" s="312">
        <f t="shared" si="2"/>
        <v>144590209</v>
      </c>
      <c r="L13" s="252">
        <f t="shared" si="2"/>
        <v>144590209</v>
      </c>
      <c r="M13" s="252">
        <f t="shared" si="2"/>
        <v>141616689</v>
      </c>
      <c r="N13" s="735">
        <f t="shared" si="2"/>
        <v>143694782</v>
      </c>
      <c r="O13" s="1167">
        <f t="shared" si="2"/>
        <v>143694782</v>
      </c>
      <c r="P13" s="252">
        <f t="shared" si="2"/>
        <v>0</v>
      </c>
      <c r="Q13" s="1782">
        <f t="shared" si="4"/>
        <v>1</v>
      </c>
      <c r="R13" s="312">
        <f>'4.sz.m.ÖNK kiadás'!S14</f>
        <v>1374948</v>
      </c>
      <c r="S13" s="252">
        <f>'4.sz.m.ÖNK kiadás'!T14</f>
        <v>1374948</v>
      </c>
      <c r="T13" s="252">
        <f>'4.sz.m.ÖNK kiadás'!U14</f>
        <v>1374948</v>
      </c>
      <c r="U13" s="735">
        <f>'4.sz.m.ÖNK kiadás'!V14</f>
        <v>232290</v>
      </c>
      <c r="V13" s="1167">
        <f>'4.sz.m.ÖNK kiadás'!W14</f>
        <v>232290</v>
      </c>
      <c r="W13" s="1782">
        <f t="shared" si="5"/>
        <v>1</v>
      </c>
      <c r="X13" s="312">
        <v>0</v>
      </c>
      <c r="Y13" s="252"/>
      <c r="Z13" s="252"/>
      <c r="AA13" s="252"/>
      <c r="AB13" s="252"/>
      <c r="AC13" s="252"/>
      <c r="AD13" s="735"/>
    </row>
    <row r="14" spans="1:30" s="5" customFormat="1" ht="33" customHeight="1" hidden="1">
      <c r="A14" s="58"/>
      <c r="B14" s="67"/>
      <c r="C14" s="67" t="s">
        <v>87</v>
      </c>
      <c r="D14" s="303" t="s">
        <v>89</v>
      </c>
      <c r="E14" s="312"/>
      <c r="F14" s="252"/>
      <c r="G14" s="252"/>
      <c r="H14" s="735"/>
      <c r="I14" s="1167"/>
      <c r="J14" s="312"/>
      <c r="K14" s="312"/>
      <c r="L14" s="252"/>
      <c r="M14" s="252"/>
      <c r="N14" s="735"/>
      <c r="O14" s="1167"/>
      <c r="P14" s="252"/>
      <c r="Q14" s="675" t="e">
        <f>#REF!/N14</f>
        <v>#REF!</v>
      </c>
      <c r="R14" s="312">
        <f>'4.sz.m.ÖNK kiadás'!S15</f>
        <v>0</v>
      </c>
      <c r="S14" s="252">
        <f>'4.sz.m.ÖNK kiadás'!T15</f>
        <v>0</v>
      </c>
      <c r="T14" s="252">
        <f>'4.sz.m.ÖNK kiadás'!U15</f>
        <v>0</v>
      </c>
      <c r="U14" s="735">
        <f>'4.sz.m.ÖNK kiadás'!V15</f>
        <v>0</v>
      </c>
      <c r="V14" s="1167">
        <f>'4.sz.m.ÖNK kiadás'!W15</f>
        <v>0</v>
      </c>
      <c r="W14" s="252">
        <f>'4.sz.m.ÖNK kiadás'!X15</f>
        <v>0</v>
      </c>
      <c r="X14" s="312"/>
      <c r="Y14" s="252"/>
      <c r="Z14" s="252"/>
      <c r="AA14" s="252"/>
      <c r="AB14" s="252"/>
      <c r="AC14" s="252"/>
      <c r="AD14" s="735"/>
    </row>
    <row r="15" spans="1:30" s="5" customFormat="1" ht="33" customHeight="1" hidden="1" thickBot="1">
      <c r="A15" s="94"/>
      <c r="B15" s="81"/>
      <c r="C15" s="81" t="s">
        <v>88</v>
      </c>
      <c r="D15" s="306" t="s">
        <v>90</v>
      </c>
      <c r="E15" s="312"/>
      <c r="F15" s="252"/>
      <c r="G15" s="252"/>
      <c r="H15" s="735"/>
      <c r="I15" s="1167"/>
      <c r="J15" s="312"/>
      <c r="K15" s="312"/>
      <c r="L15" s="252"/>
      <c r="M15" s="252"/>
      <c r="N15" s="735"/>
      <c r="O15" s="1167"/>
      <c r="P15" s="252"/>
      <c r="Q15" s="675" t="e">
        <f>#REF!/N15</f>
        <v>#REF!</v>
      </c>
      <c r="R15" s="312">
        <f>'4.sz.m.ÖNK kiadás'!S16</f>
        <v>0</v>
      </c>
      <c r="S15" s="252">
        <f>'4.sz.m.ÖNK kiadás'!T16</f>
        <v>0</v>
      </c>
      <c r="T15" s="252">
        <f>'4.sz.m.ÖNK kiadás'!U16</f>
        <v>0</v>
      </c>
      <c r="U15" s="735">
        <f>'4.sz.m.ÖNK kiadás'!V16</f>
        <v>0</v>
      </c>
      <c r="V15" s="1167">
        <f>'4.sz.m.ÖNK kiadás'!W16</f>
        <v>0</v>
      </c>
      <c r="W15" s="252">
        <f>'4.sz.m.ÖNK kiadás'!X16</f>
        <v>0</v>
      </c>
      <c r="X15" s="312"/>
      <c r="Y15" s="252"/>
      <c r="Z15" s="252"/>
      <c r="AA15" s="252"/>
      <c r="AB15" s="252"/>
      <c r="AC15" s="252"/>
      <c r="AD15" s="735"/>
    </row>
    <row r="16" spans="1:30" s="5" customFormat="1" ht="33" customHeight="1" thickBot="1">
      <c r="A16" s="76" t="s">
        <v>27</v>
      </c>
      <c r="B16" s="1852" t="s">
        <v>91</v>
      </c>
      <c r="C16" s="1852"/>
      <c r="D16" s="1852"/>
      <c r="E16" s="313">
        <f aca="true" t="shared" si="6" ref="E16:O16">SUM(E17:E19)</f>
        <v>266031742</v>
      </c>
      <c r="F16" s="45">
        <f t="shared" si="6"/>
        <v>252771315</v>
      </c>
      <c r="G16" s="45">
        <f t="shared" si="6"/>
        <v>262756044</v>
      </c>
      <c r="H16" s="736">
        <f t="shared" si="6"/>
        <v>302218937</v>
      </c>
      <c r="I16" s="1157">
        <f t="shared" si="6"/>
        <v>240739029</v>
      </c>
      <c r="J16" s="1778">
        <f>SUM(I16/H16)</f>
        <v>0.7965716225121923</v>
      </c>
      <c r="K16" s="313">
        <f t="shared" si="6"/>
        <v>257965235</v>
      </c>
      <c r="L16" s="45">
        <f t="shared" si="6"/>
        <v>244355029</v>
      </c>
      <c r="M16" s="45">
        <f>SUM(M17:M19)</f>
        <v>254339758</v>
      </c>
      <c r="N16" s="736">
        <f>SUM(N17:N19)</f>
        <v>293332491</v>
      </c>
      <c r="O16" s="1157">
        <f t="shared" si="6"/>
        <v>231852583</v>
      </c>
      <c r="P16" s="45">
        <f>SUM(P17:P19)</f>
        <v>0</v>
      </c>
      <c r="Q16" s="670">
        <f>O16/N16</f>
        <v>0.7904088026852777</v>
      </c>
      <c r="R16" s="313">
        <f>SUM(R17:R19)</f>
        <v>8066507</v>
      </c>
      <c r="S16" s="45">
        <f>SUM(S17:S19)</f>
        <v>8416286</v>
      </c>
      <c r="T16" s="45">
        <f>SUM(T17:T19)</f>
        <v>8416286</v>
      </c>
      <c r="U16" s="736">
        <f>SUM(U17:U19)</f>
        <v>8886446</v>
      </c>
      <c r="V16" s="1157">
        <f>SUM(V17:V19)</f>
        <v>8886446</v>
      </c>
      <c r="W16" s="670">
        <f>V16/U16</f>
        <v>1</v>
      </c>
      <c r="X16" s="313">
        <f aca="true" t="shared" si="7" ref="X16:AD16">SUM(X17:X19)</f>
        <v>0</v>
      </c>
      <c r="Y16" s="45">
        <f t="shared" si="7"/>
        <v>0</v>
      </c>
      <c r="Z16" s="45">
        <f t="shared" si="7"/>
        <v>0</v>
      </c>
      <c r="AA16" s="45">
        <f t="shared" si="7"/>
        <v>0</v>
      </c>
      <c r="AB16" s="45">
        <f t="shared" si="7"/>
        <v>0</v>
      </c>
      <c r="AC16" s="45">
        <f t="shared" si="7"/>
        <v>0</v>
      </c>
      <c r="AD16" s="736">
        <f t="shared" si="7"/>
        <v>0</v>
      </c>
    </row>
    <row r="17" spans="1:30" s="5" customFormat="1" ht="33" customHeight="1">
      <c r="A17" s="75"/>
      <c r="B17" s="80" t="s">
        <v>38</v>
      </c>
      <c r="C17" s="1859" t="s">
        <v>92</v>
      </c>
      <c r="D17" s="1859"/>
      <c r="E17" s="312">
        <f>'4.sz.m.ÖNK kiadás'!E18+'5.1 sz. m Köz Hiv'!D41+'5.2 sz. m ÁMK'!D44+'üres lap'!D33</f>
        <v>63700312</v>
      </c>
      <c r="F17" s="252">
        <f>'4.sz.m.ÖNK kiadás'!F18+'5.1 sz. m Köz Hiv'!E41+'5.2 sz. m ÁMK'!E44+'üres lap'!E33</f>
        <v>61481836</v>
      </c>
      <c r="G17" s="252">
        <f>'4.sz.m.ÖNK kiadás'!G18+'5.1 sz. m Köz Hiv'!F41+'5.2 sz. m ÁMK'!F44+'üres lap'!F33</f>
        <v>68924217</v>
      </c>
      <c r="H17" s="735">
        <f>'4.sz.m.ÖNK kiadás'!H18+'5.1 sz. m Köz Hiv'!G41+'5.2 sz. m ÁMK'!G44+'üres lap'!G33</f>
        <v>80216757</v>
      </c>
      <c r="I17" s="1167">
        <f>'4.sz.m.ÖNK kiadás'!I18+'5.1 sz. m Köz Hiv'!H41+'5.2 sz. m ÁMK'!H44+'üres lap'!H33</f>
        <v>55468943</v>
      </c>
      <c r="J17" s="1780">
        <f>SUM(I17/H17)</f>
        <v>0.6914882260822387</v>
      </c>
      <c r="K17" s="312">
        <f>'4.sz.m.ÖNK kiadás'!L18+'5.1 sz. m Köz Hiv'!L41+'5.2 sz. m ÁMK'!L44</f>
        <v>63700312</v>
      </c>
      <c r="L17" s="252">
        <f>'4.sz.m.ÖNK kiadás'!M18+'5.1 sz. m Köz Hiv'!M41+'5.2 sz. m ÁMK'!M44</f>
        <v>61292176</v>
      </c>
      <c r="M17" s="252">
        <f>'4.sz.m.ÖNK kiadás'!N18+'5.1 sz. m Köz Hiv'!N41+'5.2 sz. m ÁMK'!N44</f>
        <v>68734557</v>
      </c>
      <c r="N17" s="735">
        <f>'4.sz.m.ÖNK kiadás'!O18+'5.1 sz. m Köz Hiv'!O41+'5.2 sz. m ÁMK'!O44</f>
        <v>79626937</v>
      </c>
      <c r="O17" s="252">
        <f>'4.sz.m.ÖNK kiadás'!Q18+'5.1 sz. m Köz Hiv'!Q41+'5.2 sz. m ÁMK'!Q44+'üres lap'!N33</f>
        <v>54879123</v>
      </c>
      <c r="P17" s="252"/>
      <c r="Q17" s="1782">
        <f>O17/N17</f>
        <v>0.6892029891844264</v>
      </c>
      <c r="R17" s="312">
        <f>'4.sz.m.ÖNK kiadás'!S18</f>
        <v>0</v>
      </c>
      <c r="S17" s="252">
        <f>'4.sz.m.ÖNK kiadás'!T18</f>
        <v>189660</v>
      </c>
      <c r="T17" s="252">
        <f>'4.sz.m.ÖNK kiadás'!U18</f>
        <v>189660</v>
      </c>
      <c r="U17" s="735">
        <f>'4.sz.m.ÖNK kiadás'!V18</f>
        <v>589820</v>
      </c>
      <c r="V17" s="1167">
        <f>'4.sz.m.ÖNK kiadás'!W18</f>
        <v>589820</v>
      </c>
      <c r="W17" s="1782">
        <f>V17/U17</f>
        <v>1</v>
      </c>
      <c r="X17" s="312">
        <v>0</v>
      </c>
      <c r="Y17" s="252"/>
      <c r="Z17" s="252"/>
      <c r="AA17" s="252"/>
      <c r="AB17" s="252"/>
      <c r="AC17" s="252"/>
      <c r="AD17" s="735"/>
    </row>
    <row r="18" spans="1:30" s="5" customFormat="1" ht="33" customHeight="1">
      <c r="A18" s="58"/>
      <c r="B18" s="67" t="s">
        <v>39</v>
      </c>
      <c r="C18" s="1850" t="s">
        <v>93</v>
      </c>
      <c r="D18" s="1850"/>
      <c r="E18" s="312">
        <f>'4.sz.m.ÖNK kiadás'!E19</f>
        <v>196331430</v>
      </c>
      <c r="F18" s="252">
        <f>'4.sz.m.ÖNK kiadás'!F19</f>
        <v>185289479</v>
      </c>
      <c r="G18" s="252">
        <f>'4.sz.m.ÖNK kiadás'!G19</f>
        <v>187831827</v>
      </c>
      <c r="H18" s="735">
        <f>'4.sz.m.ÖNK kiadás'!H19</f>
        <v>215932180</v>
      </c>
      <c r="I18" s="1167">
        <f>'4.sz.m.ÖNK kiadás'!I19</f>
        <v>179200086</v>
      </c>
      <c r="J18" s="1780">
        <f>SUM(I18/H18)</f>
        <v>0.8298905980572233</v>
      </c>
      <c r="K18" s="312">
        <f>'4.sz.m.ÖNK kiadás'!L19+'5.1 sz. m Köz Hiv'!L42+'5.2 sz. m ÁMK'!L45</f>
        <v>194264923</v>
      </c>
      <c r="L18" s="252">
        <f>'4.sz.m.ÖNK kiadás'!M19+'5.1 sz. m Köz Hiv'!M42+'5.2 sz. m ÁMK'!M45</f>
        <v>183062853</v>
      </c>
      <c r="M18" s="252">
        <f>'4.sz.m.ÖNK kiadás'!N19+'5.1 sz. m Köz Hiv'!N42+'5.2 sz. m ÁMK'!N45</f>
        <v>185605201</v>
      </c>
      <c r="N18" s="735">
        <f>'4.sz.m.ÖNK kiadás'!O19+'5.1 sz. m Köz Hiv'!O42+'5.2 sz. m ÁMK'!O45</f>
        <v>213705554</v>
      </c>
      <c r="O18" s="252">
        <f>'4.sz.m.ÖNK kiadás'!Q19+'5.1 sz. m Köz Hiv'!Q42+'5.2 sz. m ÁMK'!Q45+'üres lap'!N34</f>
        <v>176973460</v>
      </c>
      <c r="P18" s="252"/>
      <c r="Q18" s="1782">
        <f>O18/N18</f>
        <v>0.8281182060434423</v>
      </c>
      <c r="R18" s="312">
        <f>'4.sz.m.ÖNK kiadás'!S19</f>
        <v>2066507</v>
      </c>
      <c r="S18" s="252">
        <f>'4.sz.m.ÖNK kiadás'!T19</f>
        <v>2226626</v>
      </c>
      <c r="T18" s="252">
        <f>'4.sz.m.ÖNK kiadás'!U19</f>
        <v>2226626</v>
      </c>
      <c r="U18" s="735">
        <f>'4.sz.m.ÖNK kiadás'!V19</f>
        <v>2226626</v>
      </c>
      <c r="V18" s="1167">
        <f>'4.sz.m.ÖNK kiadás'!W19</f>
        <v>2226626</v>
      </c>
      <c r="W18" s="1782">
        <f>V18/U18</f>
        <v>1</v>
      </c>
      <c r="X18" s="312">
        <v>0</v>
      </c>
      <c r="Y18" s="252"/>
      <c r="Z18" s="252"/>
      <c r="AA18" s="252"/>
      <c r="AB18" s="252"/>
      <c r="AC18" s="252"/>
      <c r="AD18" s="735"/>
    </row>
    <row r="19" spans="1:30" s="5" customFormat="1" ht="33" customHeight="1">
      <c r="A19" s="88"/>
      <c r="B19" s="67" t="s">
        <v>40</v>
      </c>
      <c r="C19" s="1863" t="s">
        <v>94</v>
      </c>
      <c r="D19" s="1863"/>
      <c r="E19" s="312">
        <f>'4.sz.m.ÖNK kiadás'!E20</f>
        <v>6000000</v>
      </c>
      <c r="F19" s="252">
        <f>'4.sz.m.ÖNK kiadás'!F20</f>
        <v>6000000</v>
      </c>
      <c r="G19" s="252">
        <f>'4.sz.m.ÖNK kiadás'!G20</f>
        <v>6000000</v>
      </c>
      <c r="H19" s="735">
        <f>'4.sz.m.ÖNK kiadás'!H20</f>
        <v>6070000</v>
      </c>
      <c r="I19" s="1167">
        <f>'4.sz.m.ÖNK kiadás'!I20</f>
        <v>6070000</v>
      </c>
      <c r="J19" s="1780">
        <f>SUM(I19/H19)</f>
        <v>1</v>
      </c>
      <c r="K19" s="312">
        <f>'4.sz.m.ÖNK kiadás'!L20</f>
        <v>0</v>
      </c>
      <c r="L19" s="252">
        <f>'4.sz.m.ÖNK kiadás'!M20</f>
        <v>0</v>
      </c>
      <c r="M19" s="252">
        <f>'4.sz.m.ÖNK kiadás'!N20</f>
        <v>0</v>
      </c>
      <c r="N19" s="735">
        <f>'4.sz.m.ÖNK kiadás'!O20</f>
        <v>0</v>
      </c>
      <c r="O19" s="1167">
        <f>'4.sz.m.ÖNK kiadás'!P20</f>
        <v>0</v>
      </c>
      <c r="P19" s="252">
        <f>'4.sz.m.ÖNK kiadás'!Q20</f>
        <v>0</v>
      </c>
      <c r="Q19" s="675"/>
      <c r="R19" s="312">
        <f>'4.sz.m.ÖNK kiadás'!S20</f>
        <v>6000000</v>
      </c>
      <c r="S19" s="252">
        <f>'4.sz.m.ÖNK kiadás'!T20</f>
        <v>6000000</v>
      </c>
      <c r="T19" s="252">
        <f>'4.sz.m.ÖNK kiadás'!U20</f>
        <v>6000000</v>
      </c>
      <c r="U19" s="735">
        <f>'4.sz.m.ÖNK kiadás'!V20</f>
        <v>6070000</v>
      </c>
      <c r="V19" s="1167">
        <f>'4.sz.m.ÖNK kiadás'!W20</f>
        <v>6070000</v>
      </c>
      <c r="W19" s="1782">
        <f>V19/U19</f>
        <v>1</v>
      </c>
      <c r="X19" s="312">
        <v>0</v>
      </c>
      <c r="Y19" s="252"/>
      <c r="Z19" s="252"/>
      <c r="AA19" s="252"/>
      <c r="AB19" s="252"/>
      <c r="AC19" s="252"/>
      <c r="AD19" s="735"/>
    </row>
    <row r="20" spans="1:30" s="5" customFormat="1" ht="33" customHeight="1">
      <c r="A20" s="64"/>
      <c r="B20" s="68"/>
      <c r="C20" s="68" t="s">
        <v>95</v>
      </c>
      <c r="D20" s="209" t="s">
        <v>85</v>
      </c>
      <c r="E20" s="312">
        <f>'4.sz.m.ÖNK kiadás'!E21</f>
        <v>6000000</v>
      </c>
      <c r="F20" s="252">
        <f>'4.sz.m.ÖNK kiadás'!F21</f>
        <v>6000000</v>
      </c>
      <c r="G20" s="252">
        <f>'4.sz.m.ÖNK kiadás'!G21</f>
        <v>6000000</v>
      </c>
      <c r="H20" s="735">
        <f>'4.sz.m.ÖNK kiadás'!H21</f>
        <v>6070000</v>
      </c>
      <c r="I20" s="1167">
        <f>'4.sz.m.ÖNK kiadás'!I21</f>
        <v>6070000</v>
      </c>
      <c r="J20" s="1780">
        <f>SUM(I20/H20)</f>
        <v>1</v>
      </c>
      <c r="K20" s="312">
        <f>'4.sz.m.ÖNK kiadás'!L21</f>
        <v>0</v>
      </c>
      <c r="L20" s="252">
        <f>'4.sz.m.ÖNK kiadás'!M21</f>
        <v>0</v>
      </c>
      <c r="M20" s="252">
        <f>'4.sz.m.ÖNK kiadás'!N21</f>
        <v>0</v>
      </c>
      <c r="N20" s="735">
        <f>'4.sz.m.ÖNK kiadás'!O21</f>
        <v>0</v>
      </c>
      <c r="O20" s="1167">
        <f>'4.sz.m.ÖNK kiadás'!P21</f>
        <v>0</v>
      </c>
      <c r="P20" s="252">
        <f>'4.sz.m.ÖNK kiadás'!Q21</f>
        <v>0</v>
      </c>
      <c r="Q20" s="675"/>
      <c r="R20" s="312">
        <f>'4.sz.m.ÖNK kiadás'!S21</f>
        <v>6000000</v>
      </c>
      <c r="S20" s="252">
        <f>'4.sz.m.ÖNK kiadás'!T21</f>
        <v>6000000</v>
      </c>
      <c r="T20" s="252">
        <f>'4.sz.m.ÖNK kiadás'!U21</f>
        <v>6000000</v>
      </c>
      <c r="U20" s="735">
        <f>'4.sz.m.ÖNK kiadás'!V21</f>
        <v>6070000</v>
      </c>
      <c r="V20" s="1167">
        <f>'4.sz.m.ÖNK kiadás'!W21</f>
        <v>6070000</v>
      </c>
      <c r="W20" s="1782">
        <f>V20/U20</f>
        <v>1</v>
      </c>
      <c r="X20" s="312">
        <v>0</v>
      </c>
      <c r="Y20" s="252"/>
      <c r="Z20" s="252"/>
      <c r="AA20" s="252"/>
      <c r="AB20" s="252"/>
      <c r="AC20" s="252"/>
      <c r="AD20" s="735"/>
    </row>
    <row r="21" spans="1:30" s="5" customFormat="1" ht="33" customHeight="1">
      <c r="A21" s="64"/>
      <c r="B21" s="68"/>
      <c r="C21" s="68" t="s">
        <v>96</v>
      </c>
      <c r="D21" s="209" t="s">
        <v>86</v>
      </c>
      <c r="E21" s="312">
        <f>'4.sz.m.ÖNK kiadás'!E22</f>
        <v>0</v>
      </c>
      <c r="F21" s="252">
        <f>'4.sz.m.ÖNK kiadás'!F22</f>
        <v>0</v>
      </c>
      <c r="G21" s="252">
        <f>'4.sz.m.ÖNK kiadás'!G22</f>
        <v>0</v>
      </c>
      <c r="H21" s="735">
        <f>'4.sz.m.ÖNK kiadás'!H22</f>
        <v>0</v>
      </c>
      <c r="I21" s="1167">
        <f>'4.sz.m.ÖNK kiadás'!I22</f>
        <v>0</v>
      </c>
      <c r="J21" s="312">
        <f>'4.sz.m.ÖNK kiadás'!J22</f>
        <v>0</v>
      </c>
      <c r="K21" s="312">
        <f>'4.sz.m.ÖNK kiadás'!L22</f>
        <v>0</v>
      </c>
      <c r="L21" s="252">
        <f>'4.sz.m.ÖNK kiadás'!M22</f>
        <v>0</v>
      </c>
      <c r="M21" s="252">
        <f>'4.sz.m.ÖNK kiadás'!N22</f>
        <v>0</v>
      </c>
      <c r="N21" s="735">
        <f>'4.sz.m.ÖNK kiadás'!O22</f>
        <v>0</v>
      </c>
      <c r="O21" s="1167">
        <f>'4.sz.m.ÖNK kiadás'!P22</f>
        <v>0</v>
      </c>
      <c r="P21" s="252">
        <f>'4.sz.m.ÖNK kiadás'!Q22</f>
        <v>0</v>
      </c>
      <c r="Q21" s="675"/>
      <c r="R21" s="312">
        <v>0</v>
      </c>
      <c r="S21" s="252">
        <v>0</v>
      </c>
      <c r="T21" s="252">
        <v>0</v>
      </c>
      <c r="U21" s="735">
        <v>0</v>
      </c>
      <c r="V21" s="1167"/>
      <c r="W21" s="252"/>
      <c r="X21" s="312">
        <v>0</v>
      </c>
      <c r="Y21" s="252"/>
      <c r="Z21" s="252"/>
      <c r="AA21" s="252"/>
      <c r="AB21" s="252"/>
      <c r="AC21" s="252"/>
      <c r="AD21" s="735"/>
    </row>
    <row r="22" spans="1:30" s="5" customFormat="1" ht="33" customHeight="1">
      <c r="A22" s="88"/>
      <c r="B22" s="209"/>
      <c r="C22" s="68" t="s">
        <v>97</v>
      </c>
      <c r="D22" s="209" t="s">
        <v>471</v>
      </c>
      <c r="E22" s="312">
        <f>'4.sz.m.ÖNK kiadás'!E23</f>
        <v>0</v>
      </c>
      <c r="F22" s="252">
        <f>'4.sz.m.ÖNK kiadás'!F23</f>
        <v>0</v>
      </c>
      <c r="G22" s="252">
        <f>'4.sz.m.ÖNK kiadás'!G23</f>
        <v>0</v>
      </c>
      <c r="H22" s="735">
        <f>'4.sz.m.ÖNK kiadás'!H23</f>
        <v>0</v>
      </c>
      <c r="I22" s="1167">
        <f>'4.sz.m.ÖNK kiadás'!I23</f>
        <v>0</v>
      </c>
      <c r="J22" s="312">
        <f>'4.sz.m.ÖNK kiadás'!J23</f>
        <v>0</v>
      </c>
      <c r="K22" s="312">
        <f>'4.sz.m.ÖNK kiadás'!L23</f>
        <v>0</v>
      </c>
      <c r="L22" s="252">
        <f>'4.sz.m.ÖNK kiadás'!M23</f>
        <v>0</v>
      </c>
      <c r="M22" s="252">
        <f>'4.sz.m.ÖNK kiadás'!N23</f>
        <v>0</v>
      </c>
      <c r="N22" s="735">
        <f>'4.sz.m.ÖNK kiadás'!O23</f>
        <v>0</v>
      </c>
      <c r="O22" s="1167">
        <f>'4.sz.m.ÖNK kiadás'!P23</f>
        <v>0</v>
      </c>
      <c r="P22" s="252">
        <f>'4.sz.m.ÖNK kiadás'!Q23</f>
        <v>0</v>
      </c>
      <c r="Q22" s="675"/>
      <c r="R22" s="312">
        <v>0</v>
      </c>
      <c r="S22" s="252">
        <v>0</v>
      </c>
      <c r="T22" s="252">
        <v>0</v>
      </c>
      <c r="U22" s="735">
        <v>0</v>
      </c>
      <c r="V22" s="1167">
        <f>'4.sz.m.ÖNK kiadás'!W23</f>
        <v>0</v>
      </c>
      <c r="W22" s="252">
        <f>'4.sz.m.ÖNK kiadás'!X23</f>
        <v>0</v>
      </c>
      <c r="X22" s="312">
        <v>0</v>
      </c>
      <c r="Y22" s="252"/>
      <c r="Z22" s="252"/>
      <c r="AA22" s="252"/>
      <c r="AB22" s="252"/>
      <c r="AC22" s="252"/>
      <c r="AD22" s="735"/>
    </row>
    <row r="23" spans="1:30" s="5" customFormat="1" ht="33" customHeight="1" thickBot="1">
      <c r="A23" s="234"/>
      <c r="B23" s="235"/>
      <c r="C23" s="236" t="s">
        <v>205</v>
      </c>
      <c r="D23" s="235" t="s">
        <v>206</v>
      </c>
      <c r="E23" s="312">
        <f>'4.sz.m.ÖNK kiadás'!E24</f>
        <v>0</v>
      </c>
      <c r="F23" s="252">
        <f>'4.sz.m.ÖNK kiadás'!F24</f>
        <v>0</v>
      </c>
      <c r="G23" s="252">
        <f>'4.sz.m.ÖNK kiadás'!G24</f>
        <v>0</v>
      </c>
      <c r="H23" s="735">
        <f>'4.sz.m.ÖNK kiadás'!H24</f>
        <v>0</v>
      </c>
      <c r="I23" s="1167">
        <f>'4.sz.m.ÖNK kiadás'!I24</f>
        <v>0</v>
      </c>
      <c r="J23" s="312">
        <f>'4.sz.m.ÖNK kiadás'!J24</f>
        <v>0</v>
      </c>
      <c r="K23" s="312">
        <f>'4.sz.m.ÖNK kiadás'!L24</f>
        <v>0</v>
      </c>
      <c r="L23" s="252">
        <f>'4.sz.m.ÖNK kiadás'!M24</f>
        <v>0</v>
      </c>
      <c r="M23" s="252">
        <f>'4.sz.m.ÖNK kiadás'!N24</f>
        <v>0</v>
      </c>
      <c r="N23" s="735">
        <f>'4.sz.m.ÖNK kiadás'!O24</f>
        <v>0</v>
      </c>
      <c r="O23" s="1167">
        <f>'4.sz.m.ÖNK kiadás'!P24</f>
        <v>0</v>
      </c>
      <c r="P23" s="252">
        <f>'4.sz.m.ÖNK kiadás'!Q24</f>
        <v>0</v>
      </c>
      <c r="Q23" s="675"/>
      <c r="R23" s="312">
        <v>0</v>
      </c>
      <c r="S23" s="252">
        <v>0</v>
      </c>
      <c r="T23" s="252">
        <v>0</v>
      </c>
      <c r="U23" s="735">
        <v>0</v>
      </c>
      <c r="V23" s="1167"/>
      <c r="W23" s="252"/>
      <c r="X23" s="312">
        <v>0</v>
      </c>
      <c r="Y23" s="252"/>
      <c r="Z23" s="252"/>
      <c r="AA23" s="252"/>
      <c r="AB23" s="252"/>
      <c r="AC23" s="252"/>
      <c r="AD23" s="735"/>
    </row>
    <row r="24" spans="1:30" s="5" customFormat="1" ht="33" customHeight="1" thickBot="1">
      <c r="A24" s="76" t="s">
        <v>9</v>
      </c>
      <c r="B24" s="1852" t="s">
        <v>98</v>
      </c>
      <c r="C24" s="1852"/>
      <c r="D24" s="1852"/>
      <c r="E24" s="313">
        <f aca="true" t="shared" si="8" ref="E24:P24">SUM(E25:E27)</f>
        <v>88768165</v>
      </c>
      <c r="F24" s="45">
        <f t="shared" si="8"/>
        <v>80172407</v>
      </c>
      <c r="G24" s="45">
        <f t="shared" si="8"/>
        <v>95182276</v>
      </c>
      <c r="H24" s="736">
        <f t="shared" si="8"/>
        <v>0</v>
      </c>
      <c r="I24" s="1157">
        <f t="shared" si="8"/>
        <v>0</v>
      </c>
      <c r="J24" s="313">
        <f t="shared" si="8"/>
        <v>0</v>
      </c>
      <c r="K24" s="313">
        <f t="shared" si="8"/>
        <v>88768165</v>
      </c>
      <c r="L24" s="45">
        <f t="shared" si="8"/>
        <v>80172407</v>
      </c>
      <c r="M24" s="45">
        <f>SUM(M25:M27)</f>
        <v>95182276</v>
      </c>
      <c r="N24" s="736">
        <f>SUM(N25:N27)</f>
        <v>0</v>
      </c>
      <c r="O24" s="1157">
        <f t="shared" si="8"/>
        <v>0</v>
      </c>
      <c r="P24" s="45">
        <f t="shared" si="8"/>
        <v>0</v>
      </c>
      <c r="Q24" s="673"/>
      <c r="R24" s="313">
        <f aca="true" t="shared" si="9" ref="R24:Z24">SUM(R25:R27)</f>
        <v>0</v>
      </c>
      <c r="S24" s="45">
        <f>SUM(S25:S27)</f>
        <v>0</v>
      </c>
      <c r="T24" s="45">
        <f>SUM(T25:T27)</f>
        <v>0</v>
      </c>
      <c r="U24" s="736">
        <f>SUM(U25:U27)</f>
        <v>0</v>
      </c>
      <c r="V24" s="1157">
        <f>SUM(V25:V27)</f>
        <v>0</v>
      </c>
      <c r="W24" s="45">
        <f>SUM(W25:W27)</f>
        <v>0</v>
      </c>
      <c r="X24" s="313">
        <f t="shared" si="9"/>
        <v>0</v>
      </c>
      <c r="Y24" s="45">
        <f t="shared" si="9"/>
        <v>0</v>
      </c>
      <c r="Z24" s="45">
        <f t="shared" si="9"/>
        <v>0</v>
      </c>
      <c r="AA24" s="45">
        <f>SUM(AA25:AA27)</f>
        <v>0</v>
      </c>
      <c r="AB24" s="45">
        <f>SUM(AB25:AB27)</f>
        <v>0</v>
      </c>
      <c r="AC24" s="45">
        <f>SUM(AC25:AC27)</f>
        <v>0</v>
      </c>
      <c r="AD24" s="736">
        <f>SUM(AD25:AD27)</f>
        <v>0</v>
      </c>
    </row>
    <row r="25" spans="1:30" s="5" customFormat="1" ht="33" customHeight="1">
      <c r="A25" s="75"/>
      <c r="B25" s="80" t="s">
        <v>41</v>
      </c>
      <c r="C25" s="1859" t="s">
        <v>2</v>
      </c>
      <c r="D25" s="1859"/>
      <c r="E25" s="312">
        <f>'4.sz.m.ÖNK kiadás'!E26</f>
        <v>88768165</v>
      </c>
      <c r="F25" s="252">
        <f>'4.sz.m.ÖNK kiadás'!F26</f>
        <v>80172407</v>
      </c>
      <c r="G25" s="252">
        <f>'4.sz.m.ÖNK kiadás'!G26</f>
        <v>95182276</v>
      </c>
      <c r="H25" s="735">
        <f>'4.sz.m.ÖNK kiadás'!H26</f>
        <v>0</v>
      </c>
      <c r="I25" s="1718">
        <f>'4.sz.m.ÖNK kiadás'!I26</f>
        <v>0</v>
      </c>
      <c r="J25" s="312">
        <f>'4.sz.m.ÖNK kiadás'!J26</f>
        <v>0</v>
      </c>
      <c r="K25" s="312">
        <f>'4.sz.m.ÖNK kiadás'!L26</f>
        <v>88768165</v>
      </c>
      <c r="L25" s="252">
        <f>'4.sz.m.ÖNK kiadás'!M26</f>
        <v>80172407</v>
      </c>
      <c r="M25" s="252">
        <f>'4.sz.m.ÖNK kiadás'!N26</f>
        <v>95182276</v>
      </c>
      <c r="N25" s="735">
        <f>'4.sz.m.ÖNK kiadás'!O26</f>
        <v>0</v>
      </c>
      <c r="O25" s="1167">
        <f>'4.sz.m.ÖNK kiadás'!P26</f>
        <v>0</v>
      </c>
      <c r="P25" s="252">
        <f>'4.sz.m.ÖNK kiadás'!Q26</f>
        <v>0</v>
      </c>
      <c r="Q25" s="252" t="e">
        <f>'4.sz.m.ÖNK kiadás'!R26</f>
        <v>#DIV/0!</v>
      </c>
      <c r="R25" s="312">
        <v>0</v>
      </c>
      <c r="S25" s="252">
        <v>0</v>
      </c>
      <c r="T25" s="252">
        <v>0</v>
      </c>
      <c r="U25" s="735">
        <v>0</v>
      </c>
      <c r="V25" s="1167"/>
      <c r="W25" s="252"/>
      <c r="X25" s="312">
        <v>0</v>
      </c>
      <c r="Y25" s="252"/>
      <c r="Z25" s="252"/>
      <c r="AA25" s="252"/>
      <c r="AB25" s="252"/>
      <c r="AC25" s="252"/>
      <c r="AD25" s="735"/>
    </row>
    <row r="26" spans="1:30" s="8" customFormat="1" ht="33" customHeight="1">
      <c r="A26" s="89"/>
      <c r="B26" s="67" t="s">
        <v>42</v>
      </c>
      <c r="C26" s="1869" t="s">
        <v>269</v>
      </c>
      <c r="D26" s="1869"/>
      <c r="E26" s="312">
        <v>0</v>
      </c>
      <c r="F26" s="252">
        <v>0</v>
      </c>
      <c r="G26" s="252">
        <v>0</v>
      </c>
      <c r="H26" s="735">
        <v>0</v>
      </c>
      <c r="I26" s="1167">
        <v>0</v>
      </c>
      <c r="J26" s="312">
        <v>0</v>
      </c>
      <c r="K26" s="312">
        <v>0</v>
      </c>
      <c r="L26" s="252">
        <v>0</v>
      </c>
      <c r="M26" s="252">
        <v>0</v>
      </c>
      <c r="N26" s="735">
        <v>0</v>
      </c>
      <c r="O26" s="1167"/>
      <c r="P26" s="252"/>
      <c r="Q26" s="675"/>
      <c r="R26" s="312">
        <v>0</v>
      </c>
      <c r="S26" s="252">
        <v>0</v>
      </c>
      <c r="T26" s="252">
        <v>0</v>
      </c>
      <c r="U26" s="735">
        <v>0</v>
      </c>
      <c r="V26" s="1167"/>
      <c r="W26" s="252"/>
      <c r="X26" s="312">
        <v>0</v>
      </c>
      <c r="Y26" s="252"/>
      <c r="Z26" s="252"/>
      <c r="AA26" s="252"/>
      <c r="AB26" s="252"/>
      <c r="AC26" s="252"/>
      <c r="AD26" s="735"/>
    </row>
    <row r="27" spans="1:30" s="8" customFormat="1" ht="33" customHeight="1" thickBot="1">
      <c r="A27" s="95"/>
      <c r="B27" s="81" t="s">
        <v>66</v>
      </c>
      <c r="C27" s="96" t="s">
        <v>99</v>
      </c>
      <c r="D27" s="96"/>
      <c r="E27" s="312">
        <v>0</v>
      </c>
      <c r="F27" s="252">
        <v>0</v>
      </c>
      <c r="G27" s="252">
        <v>0</v>
      </c>
      <c r="H27" s="735">
        <v>0</v>
      </c>
      <c r="I27" s="1167">
        <v>0</v>
      </c>
      <c r="J27" s="312">
        <v>0</v>
      </c>
      <c r="K27" s="312">
        <v>0</v>
      </c>
      <c r="L27" s="252">
        <v>0</v>
      </c>
      <c r="M27" s="252">
        <v>0</v>
      </c>
      <c r="N27" s="735">
        <v>0</v>
      </c>
      <c r="O27" s="1167"/>
      <c r="P27" s="252"/>
      <c r="Q27" s="675"/>
      <c r="R27" s="312">
        <v>0</v>
      </c>
      <c r="S27" s="252">
        <v>0</v>
      </c>
      <c r="T27" s="252">
        <v>0</v>
      </c>
      <c r="U27" s="735">
        <v>0</v>
      </c>
      <c r="V27" s="1167"/>
      <c r="W27" s="252"/>
      <c r="X27" s="312">
        <v>0</v>
      </c>
      <c r="Y27" s="252"/>
      <c r="Z27" s="252"/>
      <c r="AA27" s="252"/>
      <c r="AB27" s="252"/>
      <c r="AC27" s="252"/>
      <c r="AD27" s="735"/>
    </row>
    <row r="28" spans="1:30" s="8" customFormat="1" ht="33" customHeight="1" thickBot="1">
      <c r="A28" s="56" t="s">
        <v>10</v>
      </c>
      <c r="B28" s="82" t="s">
        <v>100</v>
      </c>
      <c r="C28" s="82"/>
      <c r="D28" s="82"/>
      <c r="E28" s="314">
        <v>0</v>
      </c>
      <c r="F28" s="315">
        <v>0</v>
      </c>
      <c r="G28" s="315">
        <v>0</v>
      </c>
      <c r="H28" s="737">
        <v>0</v>
      </c>
      <c r="I28" s="1168">
        <v>0</v>
      </c>
      <c r="J28" s="314">
        <v>0</v>
      </c>
      <c r="K28" s="314">
        <v>0</v>
      </c>
      <c r="L28" s="315">
        <v>0</v>
      </c>
      <c r="M28" s="315">
        <v>0</v>
      </c>
      <c r="N28" s="737">
        <v>0</v>
      </c>
      <c r="O28" s="1168">
        <v>0</v>
      </c>
      <c r="P28" s="315"/>
      <c r="Q28" s="676"/>
      <c r="R28" s="314">
        <v>0</v>
      </c>
      <c r="S28" s="315">
        <v>0</v>
      </c>
      <c r="T28" s="315">
        <v>0</v>
      </c>
      <c r="U28" s="737">
        <v>0</v>
      </c>
      <c r="V28" s="1168"/>
      <c r="W28" s="315"/>
      <c r="X28" s="314">
        <v>0</v>
      </c>
      <c r="Y28" s="315"/>
      <c r="Z28" s="315"/>
      <c r="AA28" s="315"/>
      <c r="AB28" s="315"/>
      <c r="AC28" s="315"/>
      <c r="AD28" s="737"/>
    </row>
    <row r="29" spans="1:30" s="8" customFormat="1" ht="33" customHeight="1" thickBot="1">
      <c r="A29" s="76" t="s">
        <v>11</v>
      </c>
      <c r="B29" s="1840" t="s">
        <v>101</v>
      </c>
      <c r="C29" s="1840"/>
      <c r="D29" s="1840"/>
      <c r="E29" s="311">
        <f aca="true" t="shared" si="10" ref="E29:P29">E5+E16+E24+E28</f>
        <v>915625767</v>
      </c>
      <c r="F29" s="250">
        <f t="shared" si="10"/>
        <v>902173540</v>
      </c>
      <c r="G29" s="250">
        <f t="shared" si="10"/>
        <v>924189193</v>
      </c>
      <c r="H29" s="734">
        <f t="shared" si="10"/>
        <v>981690471</v>
      </c>
      <c r="I29" s="1155">
        <f t="shared" si="10"/>
        <v>764399150</v>
      </c>
      <c r="J29" s="1778">
        <f>SUM(I29/H29)</f>
        <v>0.778655974139531</v>
      </c>
      <c r="K29" s="311">
        <f t="shared" si="10"/>
        <v>874112005</v>
      </c>
      <c r="L29" s="250">
        <f>L5+L16+L24+L28</f>
        <v>852699999</v>
      </c>
      <c r="M29" s="250">
        <f>M5+M16+M24+M28</f>
        <v>874715652</v>
      </c>
      <c r="N29" s="734">
        <f>N5+N16+N24+N28</f>
        <v>937190922</v>
      </c>
      <c r="O29" s="1155">
        <f t="shared" si="10"/>
        <v>726366289</v>
      </c>
      <c r="P29" s="250">
        <f t="shared" si="10"/>
        <v>0.3636404473629301</v>
      </c>
      <c r="Q29" s="670">
        <f>O29/N29</f>
        <v>0.7750462279872574</v>
      </c>
      <c r="R29" s="311">
        <f aca="true" t="shared" si="11" ref="R29:AD29">R5+R16+R24+R28</f>
        <v>41513762</v>
      </c>
      <c r="S29" s="250">
        <f>S5+S16+S24+S28</f>
        <v>49473541</v>
      </c>
      <c r="T29" s="250">
        <f>T5+T16+T24+T28</f>
        <v>49473541</v>
      </c>
      <c r="U29" s="734">
        <f>U5+U16+U24+U28</f>
        <v>44499549</v>
      </c>
      <c r="V29" s="1155">
        <f t="shared" si="11"/>
        <v>38032861</v>
      </c>
      <c r="W29" s="670">
        <f>V29/U29</f>
        <v>0.8546796957425343</v>
      </c>
      <c r="X29" s="311">
        <f t="shared" si="11"/>
        <v>0</v>
      </c>
      <c r="Y29" s="250">
        <f t="shared" si="11"/>
        <v>0</v>
      </c>
      <c r="Z29" s="250">
        <f t="shared" si="11"/>
        <v>0</v>
      </c>
      <c r="AA29" s="250">
        <f t="shared" si="11"/>
        <v>0</v>
      </c>
      <c r="AB29" s="250">
        <f t="shared" si="11"/>
        <v>5610894</v>
      </c>
      <c r="AC29" s="250">
        <f t="shared" si="11"/>
        <v>0</v>
      </c>
      <c r="AD29" s="734">
        <f t="shared" si="11"/>
        <v>0</v>
      </c>
    </row>
    <row r="30" spans="1:30" s="8" customFormat="1" ht="33" customHeight="1" thickBot="1">
      <c r="A30" s="54" t="s">
        <v>12</v>
      </c>
      <c r="B30" s="1851" t="s">
        <v>207</v>
      </c>
      <c r="C30" s="1851"/>
      <c r="D30" s="1851"/>
      <c r="E30" s="316">
        <f aca="true" t="shared" si="12" ref="E30:P30">SUM(E31:E33)</f>
        <v>10912646</v>
      </c>
      <c r="F30" s="79">
        <f t="shared" si="12"/>
        <v>10912646</v>
      </c>
      <c r="G30" s="79">
        <f t="shared" si="12"/>
        <v>10912646</v>
      </c>
      <c r="H30" s="738">
        <f>SUM(H31:H33)</f>
        <v>10912646</v>
      </c>
      <c r="I30" s="1154">
        <f>SUM(I31:I33)</f>
        <v>10912646</v>
      </c>
      <c r="J30" s="1778">
        <f>SUM(I30/H30)</f>
        <v>1</v>
      </c>
      <c r="K30" s="316">
        <f t="shared" si="12"/>
        <v>10912646</v>
      </c>
      <c r="L30" s="79">
        <f>SUM(L31:L33)</f>
        <v>10912646</v>
      </c>
      <c r="M30" s="79">
        <f>SUM(M31:M33)</f>
        <v>10912646</v>
      </c>
      <c r="N30" s="738">
        <f>SUM(N31:N33)</f>
        <v>10912646</v>
      </c>
      <c r="O30" s="1154">
        <f t="shared" si="12"/>
        <v>10912646</v>
      </c>
      <c r="P30" s="79">
        <f t="shared" si="12"/>
        <v>1</v>
      </c>
      <c r="Q30" s="670">
        <f>O30/N30</f>
        <v>1</v>
      </c>
      <c r="R30" s="316"/>
      <c r="S30" s="79"/>
      <c r="T30" s="79"/>
      <c r="U30" s="738"/>
      <c r="V30" s="1154"/>
      <c r="W30" s="79"/>
      <c r="X30" s="316"/>
      <c r="Y30" s="79"/>
      <c r="Z30" s="79"/>
      <c r="AA30" s="79"/>
      <c r="AB30" s="79"/>
      <c r="AC30" s="79"/>
      <c r="AD30" s="738"/>
    </row>
    <row r="31" spans="1:30" s="5" customFormat="1" ht="33" customHeight="1">
      <c r="A31" s="98"/>
      <c r="B31" s="80" t="s">
        <v>45</v>
      </c>
      <c r="C31" s="1834" t="s">
        <v>271</v>
      </c>
      <c r="D31" s="1834"/>
      <c r="E31" s="317">
        <f>'4.sz.m.ÖNK kiadás'!E33</f>
        <v>0</v>
      </c>
      <c r="F31" s="97">
        <f>'4.sz.m.ÖNK kiadás'!F33</f>
        <v>0</v>
      </c>
      <c r="G31" s="97">
        <f>'4.sz.m.ÖNK kiadás'!G33</f>
        <v>0</v>
      </c>
      <c r="H31" s="739">
        <f>'4.sz.m.ÖNK kiadás'!H33</f>
        <v>0</v>
      </c>
      <c r="I31" s="1169">
        <f>'4.sz.m.ÖNK kiadás'!I33</f>
        <v>0</v>
      </c>
      <c r="J31" s="317">
        <f>'4.sz.m.ÖNK kiadás'!J33</f>
        <v>0</v>
      </c>
      <c r="K31" s="317">
        <f>'4.sz.m.ÖNK kiadás'!L33</f>
        <v>0</v>
      </c>
      <c r="L31" s="97">
        <f>'4.sz.m.ÖNK kiadás'!M33</f>
        <v>0</v>
      </c>
      <c r="M31" s="97">
        <f>'4.sz.m.ÖNK kiadás'!N33</f>
        <v>0</v>
      </c>
      <c r="N31" s="739">
        <f>'4.sz.m.ÖNK kiadás'!O33</f>
        <v>0</v>
      </c>
      <c r="O31" s="1167">
        <f>'4.sz.m.ÖNK kiadás'!P33</f>
        <v>0</v>
      </c>
      <c r="P31" s="97">
        <f>J31</f>
        <v>0</v>
      </c>
      <c r="Q31" s="675"/>
      <c r="R31" s="312">
        <v>0</v>
      </c>
      <c r="S31" s="252">
        <v>0</v>
      </c>
      <c r="T31" s="252">
        <v>0</v>
      </c>
      <c r="U31" s="735">
        <v>0</v>
      </c>
      <c r="V31" s="1167"/>
      <c r="W31" s="252"/>
      <c r="X31" s="312">
        <v>0</v>
      </c>
      <c r="Y31" s="252"/>
      <c r="Z31" s="252"/>
      <c r="AA31" s="252"/>
      <c r="AB31" s="252"/>
      <c r="AC31" s="252"/>
      <c r="AD31" s="735"/>
    </row>
    <row r="32" spans="1:30" s="5" customFormat="1" ht="33" customHeight="1">
      <c r="A32" s="94"/>
      <c r="B32" s="81" t="s">
        <v>314</v>
      </c>
      <c r="C32" s="1850" t="s">
        <v>454</v>
      </c>
      <c r="D32" s="1850"/>
      <c r="E32" s="347">
        <f>'4.sz.m.ÖNK kiadás'!E34</f>
        <v>0</v>
      </c>
      <c r="F32" s="1173">
        <f>'4.sz.m.ÖNK kiadás'!F34</f>
        <v>0</v>
      </c>
      <c r="G32" s="1173">
        <f>'4.sz.m.ÖNK kiadás'!G34</f>
        <v>0</v>
      </c>
      <c r="H32" s="806">
        <f>'4.sz.m.ÖNK kiadás'!H34</f>
        <v>0</v>
      </c>
      <c r="I32" s="1170">
        <f>'4.sz.m.ÖNK kiadás'!I34</f>
        <v>0</v>
      </c>
      <c r="J32" s="347">
        <f>'4.sz.m.ÖNK kiadás'!J34</f>
        <v>0</v>
      </c>
      <c r="K32" s="347">
        <f>'4.sz.m.ÖNK kiadás'!L34</f>
        <v>0</v>
      </c>
      <c r="L32" s="1173">
        <f>'4.sz.m.ÖNK kiadás'!M34</f>
        <v>0</v>
      </c>
      <c r="M32" s="1173">
        <f>'4.sz.m.ÖNK kiadás'!N34</f>
        <v>0</v>
      </c>
      <c r="N32" s="806">
        <f>'4.sz.m.ÖNK kiadás'!O34</f>
        <v>0</v>
      </c>
      <c r="O32" s="1169">
        <f>'4.sz.m.ÖNK kiadás'!P34</f>
        <v>0</v>
      </c>
      <c r="P32" s="97">
        <f>J32</f>
        <v>0</v>
      </c>
      <c r="Q32" s="678"/>
      <c r="R32" s="317">
        <v>0</v>
      </c>
      <c r="S32" s="97">
        <v>0</v>
      </c>
      <c r="T32" s="97">
        <v>0</v>
      </c>
      <c r="U32" s="739">
        <v>0</v>
      </c>
      <c r="V32" s="1169"/>
      <c r="W32" s="97"/>
      <c r="X32" s="317">
        <v>0</v>
      </c>
      <c r="Y32" s="97"/>
      <c r="Z32" s="97"/>
      <c r="AA32" s="97"/>
      <c r="AB32" s="97"/>
      <c r="AC32" s="97"/>
      <c r="AD32" s="739"/>
    </row>
    <row r="33" spans="1:30" s="5" customFormat="1" ht="33" customHeight="1" thickBot="1">
      <c r="A33" s="94"/>
      <c r="B33" s="81" t="s">
        <v>431</v>
      </c>
      <c r="C33" s="1858" t="s">
        <v>430</v>
      </c>
      <c r="D33" s="1858"/>
      <c r="E33" s="317">
        <f>'4.sz.m.ÖNK kiadás'!E36</f>
        <v>10912646</v>
      </c>
      <c r="F33" s="97">
        <f>'4.sz.m.ÖNK kiadás'!F36</f>
        <v>10912646</v>
      </c>
      <c r="G33" s="97">
        <f>'4.sz.m.ÖNK kiadás'!G36</f>
        <v>10912646</v>
      </c>
      <c r="H33" s="739">
        <f>'4.sz.m.ÖNK kiadás'!H36</f>
        <v>10912646</v>
      </c>
      <c r="I33" s="1169">
        <f>'4.sz.m.ÖNK kiadás'!I36</f>
        <v>10912646</v>
      </c>
      <c r="J33" s="1780">
        <f>SUM(I33/H33)</f>
        <v>1</v>
      </c>
      <c r="K33" s="317">
        <f>'4.sz.m.ÖNK kiadás'!L36</f>
        <v>10912646</v>
      </c>
      <c r="L33" s="97">
        <f>'4.sz.m.ÖNK kiadás'!M36</f>
        <v>10912646</v>
      </c>
      <c r="M33" s="97">
        <f>'4.sz.m.ÖNK kiadás'!N36</f>
        <v>10912646</v>
      </c>
      <c r="N33" s="739">
        <f>'4.sz.m.ÖNK kiadás'!O36</f>
        <v>10912646</v>
      </c>
      <c r="O33" s="1169">
        <v>10912646</v>
      </c>
      <c r="P33" s="97">
        <f>J33</f>
        <v>1</v>
      </c>
      <c r="Q33" s="1782">
        <f>O33/N33</f>
        <v>1</v>
      </c>
      <c r="R33" s="317">
        <v>0</v>
      </c>
      <c r="S33" s="97">
        <v>0</v>
      </c>
      <c r="T33" s="97">
        <v>0</v>
      </c>
      <c r="U33" s="739">
        <v>0</v>
      </c>
      <c r="V33" s="1169"/>
      <c r="W33" s="97"/>
      <c r="X33" s="317">
        <v>0</v>
      </c>
      <c r="Y33" s="97"/>
      <c r="Z33" s="97"/>
      <c r="AA33" s="97"/>
      <c r="AB33" s="97"/>
      <c r="AC33" s="97"/>
      <c r="AD33" s="739"/>
    </row>
    <row r="34" spans="1:30" s="5" customFormat="1" ht="33" customHeight="1" thickBot="1">
      <c r="A34" s="332" t="s">
        <v>13</v>
      </c>
      <c r="B34" s="1860" t="s">
        <v>230</v>
      </c>
      <c r="C34" s="1860"/>
      <c r="D34" s="1860"/>
      <c r="E34" s="333">
        <f aca="true" t="shared" si="13" ref="E34:P34">E29+E30</f>
        <v>926538413</v>
      </c>
      <c r="F34" s="334">
        <f t="shared" si="13"/>
        <v>913086186</v>
      </c>
      <c r="G34" s="334">
        <f t="shared" si="13"/>
        <v>935101839</v>
      </c>
      <c r="H34" s="740">
        <f t="shared" si="13"/>
        <v>992603117</v>
      </c>
      <c r="I34" s="1171">
        <f t="shared" si="13"/>
        <v>775311796</v>
      </c>
      <c r="J34" s="1778">
        <f>SUM(I34/H34)</f>
        <v>0.7810894230750235</v>
      </c>
      <c r="K34" s="333">
        <f t="shared" si="13"/>
        <v>885024651</v>
      </c>
      <c r="L34" s="334">
        <f t="shared" si="13"/>
        <v>863612645</v>
      </c>
      <c r="M34" s="334">
        <f>M29+M30</f>
        <v>885628298</v>
      </c>
      <c r="N34" s="740">
        <f>N29+N30</f>
        <v>948103568</v>
      </c>
      <c r="O34" s="1171">
        <f t="shared" si="13"/>
        <v>737278935</v>
      </c>
      <c r="P34" s="334">
        <f t="shared" si="13"/>
        <v>1.36364044736293</v>
      </c>
      <c r="Q34" s="670">
        <f>O34/N34</f>
        <v>0.7776354397181215</v>
      </c>
      <c r="R34" s="333">
        <f aca="true" t="shared" si="14" ref="R34:Z34">R29+R30</f>
        <v>41513762</v>
      </c>
      <c r="S34" s="334">
        <f>S29+S30</f>
        <v>49473541</v>
      </c>
      <c r="T34" s="334">
        <f>T29+T30</f>
        <v>49473541</v>
      </c>
      <c r="U34" s="740">
        <f>U29+U30</f>
        <v>44499549</v>
      </c>
      <c r="V34" s="1171">
        <f>V29+V30</f>
        <v>38032861</v>
      </c>
      <c r="W34" s="670">
        <f>V34/U34</f>
        <v>0.8546796957425343</v>
      </c>
      <c r="X34" s="333">
        <f t="shared" si="14"/>
        <v>0</v>
      </c>
      <c r="Y34" s="334">
        <f t="shared" si="14"/>
        <v>0</v>
      </c>
      <c r="Z34" s="334">
        <f t="shared" si="14"/>
        <v>0</v>
      </c>
      <c r="AA34" s="334">
        <f>AA29+AA30</f>
        <v>0</v>
      </c>
      <c r="AB34" s="334">
        <f>AB29+AB30</f>
        <v>5610894</v>
      </c>
      <c r="AC34" s="334">
        <f>AC29+AC30</f>
        <v>0</v>
      </c>
      <c r="AD34" s="740">
        <f>AD29+AD30</f>
        <v>0</v>
      </c>
    </row>
    <row r="35" spans="1:30" s="5" customFormat="1" ht="33" customHeight="1" hidden="1" thickBot="1">
      <c r="A35" s="1856" t="s">
        <v>231</v>
      </c>
      <c r="B35" s="1857"/>
      <c r="C35" s="1857"/>
      <c r="D35" s="1857"/>
      <c r="E35" s="386"/>
      <c r="F35" s="335"/>
      <c r="G35" s="335"/>
      <c r="H35" s="1174"/>
      <c r="I35" s="1172"/>
      <c r="J35" s="386"/>
      <c r="K35" s="386"/>
      <c r="L35" s="335"/>
      <c r="M35" s="335"/>
      <c r="N35" s="1174"/>
      <c r="O35" s="1172"/>
      <c r="P35" s="335"/>
      <c r="Q35" s="670" t="e">
        <f>O35/N35</f>
        <v>#DIV/0!</v>
      </c>
      <c r="R35" s="386"/>
      <c r="S35" s="335"/>
      <c r="T35" s="335"/>
      <c r="U35" s="1174"/>
      <c r="V35" s="1172"/>
      <c r="W35" s="335"/>
      <c r="X35" s="386"/>
      <c r="Y35" s="335"/>
      <c r="Z35" s="335"/>
      <c r="AA35" s="335"/>
      <c r="AB35" s="335"/>
      <c r="AC35" s="335"/>
      <c r="AD35" s="739"/>
    </row>
    <row r="36" spans="1:30" s="5" customFormat="1" ht="33" customHeight="1" thickBot="1">
      <c r="A36" s="1839" t="s">
        <v>103</v>
      </c>
      <c r="B36" s="1840"/>
      <c r="C36" s="1840"/>
      <c r="D36" s="1840"/>
      <c r="E36" s="313">
        <f aca="true" t="shared" si="15" ref="E36:P36">E34+E35</f>
        <v>926538413</v>
      </c>
      <c r="F36" s="45">
        <f t="shared" si="15"/>
        <v>913086186</v>
      </c>
      <c r="G36" s="45">
        <f t="shared" si="15"/>
        <v>935101839</v>
      </c>
      <c r="H36" s="736">
        <f t="shared" si="15"/>
        <v>992603117</v>
      </c>
      <c r="I36" s="1775">
        <f t="shared" si="15"/>
        <v>775311796</v>
      </c>
      <c r="J36" s="1778">
        <f>SUM(I36/H36)</f>
        <v>0.7810894230750235</v>
      </c>
      <c r="K36" s="313">
        <f t="shared" si="15"/>
        <v>885024651</v>
      </c>
      <c r="L36" s="45">
        <f>L34+L35</f>
        <v>863612645</v>
      </c>
      <c r="M36" s="45">
        <f>M34+M35</f>
        <v>885628298</v>
      </c>
      <c r="N36" s="1776">
        <f>N34+N35</f>
        <v>948103568</v>
      </c>
      <c r="O36" s="1777">
        <f t="shared" si="15"/>
        <v>737278935</v>
      </c>
      <c r="P36" s="45">
        <f t="shared" si="15"/>
        <v>1.36364044736293</v>
      </c>
      <c r="Q36" s="670">
        <f>O36/N36</f>
        <v>0.7776354397181215</v>
      </c>
      <c r="R36" s="313">
        <f aca="true" t="shared" si="16" ref="R36:AD36">R34+R35</f>
        <v>41513762</v>
      </c>
      <c r="S36" s="45">
        <f t="shared" si="16"/>
        <v>49473541</v>
      </c>
      <c r="T36" s="45">
        <f>T34+T35</f>
        <v>49473541</v>
      </c>
      <c r="U36" s="1776">
        <f>U34+U35</f>
        <v>44499549</v>
      </c>
      <c r="V36" s="1777">
        <f t="shared" si="16"/>
        <v>38032861</v>
      </c>
      <c r="W36" s="670">
        <f>V36/U36</f>
        <v>0.8546796957425343</v>
      </c>
      <c r="X36" s="313">
        <f t="shared" si="16"/>
        <v>0</v>
      </c>
      <c r="Y36" s="45">
        <f t="shared" si="16"/>
        <v>0</v>
      </c>
      <c r="Z36" s="45">
        <f t="shared" si="16"/>
        <v>0</v>
      </c>
      <c r="AA36" s="45">
        <f t="shared" si="16"/>
        <v>0</v>
      </c>
      <c r="AB36" s="45">
        <f t="shared" si="16"/>
        <v>5610894</v>
      </c>
      <c r="AC36" s="45">
        <f t="shared" si="16"/>
        <v>0</v>
      </c>
      <c r="AD36" s="736">
        <f t="shared" si="16"/>
        <v>0</v>
      </c>
    </row>
    <row r="37" spans="1:29" s="5" customFormat="1" ht="19.5" customHeight="1">
      <c r="A37" s="38"/>
      <c r="B37" s="83"/>
      <c r="C37" s="38"/>
      <c r="D37" s="38"/>
      <c r="E37" s="835" t="str">
        <f>IF(K36+R36=E36," ","HIBA-nincs egyenlőség")</f>
        <v> </v>
      </c>
      <c r="F37" s="835" t="str">
        <f>IF(L36+S36=F36," ","HIBA-nincs egyenlőség")</f>
        <v> </v>
      </c>
      <c r="G37" s="835" t="str">
        <f>IF(M36+T36=G36," ","HIBA-nincs egyenlőség")</f>
        <v> </v>
      </c>
      <c r="H37" s="835"/>
      <c r="I37" s="835"/>
      <c r="J37" s="835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388"/>
      <c r="Y37" s="388"/>
      <c r="Z37" s="388"/>
      <c r="AA37" s="388"/>
      <c r="AB37" s="388"/>
      <c r="AC37" s="388"/>
    </row>
    <row r="38" spans="1:29" s="5" customFormat="1" ht="19.5" customHeight="1">
      <c r="A38" s="38"/>
      <c r="B38" s="83"/>
      <c r="C38" s="38"/>
      <c r="D38" s="38"/>
      <c r="E38" s="6"/>
      <c r="F38" s="6"/>
      <c r="G38" s="6"/>
      <c r="H38" s="6"/>
      <c r="I38" s="6"/>
      <c r="J38" s="6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387"/>
      <c r="Y38" s="387"/>
      <c r="Z38" s="387"/>
      <c r="AA38" s="387"/>
      <c r="AB38" s="387"/>
      <c r="AC38" s="387"/>
    </row>
    <row r="39" spans="1:29" s="5" customFormat="1" ht="19.5" customHeight="1">
      <c r="A39" s="38"/>
      <c r="B39" s="83"/>
      <c r="C39" s="1862" t="s">
        <v>52</v>
      </c>
      <c r="D39" s="1862"/>
      <c r="E39" s="1862"/>
      <c r="F39" s="1862"/>
      <c r="G39" s="1862"/>
      <c r="H39" s="1862"/>
      <c r="I39" s="1862"/>
      <c r="J39" s="1862"/>
      <c r="K39" s="1862"/>
      <c r="L39" s="1862"/>
      <c r="M39" s="1862"/>
      <c r="N39" s="1862"/>
      <c r="O39" s="1862"/>
      <c r="P39" s="1862"/>
      <c r="Q39" s="1862"/>
      <c r="R39" s="1862"/>
      <c r="S39" s="259"/>
      <c r="T39" s="259"/>
      <c r="U39" s="259"/>
      <c r="V39" s="259"/>
      <c r="W39" s="259"/>
      <c r="X39" s="389"/>
      <c r="Y39" s="389"/>
      <c r="Z39" s="389"/>
      <c r="AA39" s="389"/>
      <c r="AB39" s="389"/>
      <c r="AC39" s="390"/>
    </row>
    <row r="40" spans="1:29" s="5" customFormat="1" ht="19.5" customHeight="1" thickBot="1">
      <c r="A40" s="217" t="s">
        <v>53</v>
      </c>
      <c r="B40" s="217"/>
      <c r="F40" s="195"/>
      <c r="G40" s="195"/>
      <c r="H40" s="195"/>
      <c r="I40" s="195"/>
      <c r="J40" s="195"/>
      <c r="K40" s="196"/>
      <c r="L40" s="196"/>
      <c r="M40" s="196"/>
      <c r="N40" s="196"/>
      <c r="O40" s="196"/>
      <c r="P40" s="196"/>
      <c r="Q40" s="196"/>
      <c r="R40" s="197">
        <v>0</v>
      </c>
      <c r="S40" s="197"/>
      <c r="T40" s="197"/>
      <c r="U40" s="197"/>
      <c r="V40" s="197"/>
      <c r="W40" s="197"/>
      <c r="X40" s="391"/>
      <c r="Y40" s="391"/>
      <c r="Z40" s="391"/>
      <c r="AA40" s="391"/>
      <c r="AB40" s="391"/>
      <c r="AC40" s="392"/>
    </row>
    <row r="41" spans="1:31" ht="52.5" customHeight="1" thickBot="1">
      <c r="A41" s="198">
        <v>1</v>
      </c>
      <c r="B41" s="1883" t="s">
        <v>1017</v>
      </c>
      <c r="C41" s="1884"/>
      <c r="D41" s="1885"/>
      <c r="E41" s="216">
        <f>'1.sz.m-önk.össze.bev'!E57-'1 .sz.m.önk.össz.kiad.'!E29</f>
        <v>-293366907</v>
      </c>
      <c r="F41" s="216">
        <f>'1.sz.m-önk.össze.bev'!F57-'1 .sz.m.önk.össz.kiad.'!F29</f>
        <v>-293366907</v>
      </c>
      <c r="G41" s="216">
        <f>'1.sz.m-önk.össze.bev'!G57-'1 .sz.m.önk.össz.kiad.'!G29</f>
        <v>-293366907</v>
      </c>
      <c r="H41" s="216">
        <f>'1.sz.m-önk.össze.bev'!H57-'1 .sz.m.önk.össz.kiad.'!H29</f>
        <v>-309543354</v>
      </c>
      <c r="I41" s="216">
        <f>'1.sz.m-önk.össze.bev'!I57-'1 .sz.m.önk.össz.kiad.'!I29</f>
        <v>-99618724</v>
      </c>
      <c r="J41" s="216"/>
      <c r="K41" s="216">
        <f>'1.sz.m-önk.össze.bev'!K57-'1 .sz.m.önk.össz.kiad.'!K29</f>
        <v>-271533113</v>
      </c>
      <c r="L41" s="216">
        <f>'1.sz.m-önk.össze.bev'!L57-'1 .sz.m.önk.össz.kiad.'!L29</f>
        <v>-271533113</v>
      </c>
      <c r="M41" s="216">
        <f>'1.sz.m-önk.össze.bev'!M57-'1 .sz.m.önk.össz.kiad.'!M29</f>
        <v>-271533113</v>
      </c>
      <c r="N41" s="216">
        <f>'1.sz.m-önk.össze.bev'!N57-'1 .sz.m.önk.össz.kiad.'!N29</f>
        <v>-288008957</v>
      </c>
      <c r="O41" s="216">
        <f>'1.sz.m-önk.össze.bev'!O57-'1 .sz.m.önk.össz.kiad.'!O29</f>
        <v>-84452232</v>
      </c>
      <c r="P41" s="216">
        <f>'1.sz.m-önk.össze.bev'!P57-'1 .sz.m.önk.össz.kiad.'!P29</f>
        <v>-0.3636404473629301</v>
      </c>
      <c r="Q41" s="216"/>
      <c r="R41" s="216">
        <f>'1.sz.m-önk.össze.bev'!R57-'1 .sz.m.önk.össz.kiad.'!R29</f>
        <v>-21833794</v>
      </c>
      <c r="S41" s="216">
        <f>'1.sz.m-önk.össze.bev'!S57-'1 .sz.m.önk.össz.kiad.'!S29</f>
        <v>-21833794</v>
      </c>
      <c r="T41" s="216">
        <f>'1.sz.m-önk.össze.bev'!T57-'1 .sz.m.önk.össz.kiad.'!T29</f>
        <v>-21833794</v>
      </c>
      <c r="U41" s="216">
        <f>'1.sz.m-önk.össze.bev'!U57-'1 .sz.m.önk.össz.kiad.'!U29</f>
        <v>-21534397</v>
      </c>
      <c r="V41" s="216">
        <f>'1.sz.m-önk.össze.bev'!V57-'1 .sz.m.önk.össz.kiad.'!V29</f>
        <v>-15166492</v>
      </c>
      <c r="W41" s="216"/>
      <c r="X41" s="216">
        <f>'1.sz.m-önk.össze.bev'!X57-'1 .sz.m.önk.össz.kiad.'!X29</f>
        <v>0</v>
      </c>
      <c r="Y41" s="216">
        <f>'1.sz.m-önk.össze.bev'!Y57-'1 .sz.m.önk.össz.kiad.'!Y29</f>
        <v>0</v>
      </c>
      <c r="Z41" s="216">
        <f>'1.sz.m-önk.össze.bev'!Z57-'1 .sz.m.önk.össz.kiad.'!Z29</f>
        <v>0</v>
      </c>
      <c r="AA41" s="216">
        <f>'1.sz.m-önk.össze.bev'!AA57-'1 .sz.m.önk.össz.kiad.'!AA29</f>
        <v>0</v>
      </c>
      <c r="AB41" s="216">
        <f>'1.sz.m-önk.össze.bev'!AB57-'1 .sz.m.önk.össz.kiad.'!AB29</f>
        <v>0</v>
      </c>
      <c r="AC41" s="216">
        <f>'1.sz.m-önk.össze.bev'!AC57-'1 .sz.m.önk.össz.kiad.'!AC29</f>
        <v>5610894</v>
      </c>
      <c r="AD41" s="216">
        <f>'1.sz.m-önk.össze.bev'!AD57-'1 .sz.m.önk.össz.kiad.'!AD29</f>
        <v>5610894</v>
      </c>
      <c r="AE41" s="216">
        <f>'1.sz.m-önk.össze.bev'!AE57-'1 .sz.m.önk.össz.kiad.'!AE29</f>
        <v>0</v>
      </c>
    </row>
    <row r="42" spans="1:23" ht="15.75">
      <c r="A42" s="85"/>
      <c r="B42" s="37"/>
      <c r="C42" s="195"/>
      <c r="D42" s="195"/>
      <c r="E42" s="199"/>
      <c r="F42" s="199"/>
      <c r="G42" s="199"/>
      <c r="H42" s="199"/>
      <c r="I42" s="199"/>
      <c r="J42" s="199"/>
      <c r="K42" s="196"/>
      <c r="L42" s="196"/>
      <c r="M42" s="196"/>
      <c r="N42" s="196"/>
      <c r="O42" s="196"/>
      <c r="P42" s="196"/>
      <c r="Q42" s="196"/>
      <c r="R42" s="197">
        <v>0</v>
      </c>
      <c r="S42" s="197"/>
      <c r="T42" s="197"/>
      <c r="U42" s="197"/>
      <c r="V42" s="197"/>
      <c r="W42" s="197"/>
    </row>
    <row r="43" spans="1:23" ht="15.75" customHeight="1">
      <c r="A43" s="85"/>
      <c r="B43" s="37"/>
      <c r="C43" s="1881" t="s">
        <v>1018</v>
      </c>
      <c r="D43" s="1881"/>
      <c r="E43" s="1881"/>
      <c r="F43" s="1881"/>
      <c r="G43" s="1881"/>
      <c r="H43" s="1881"/>
      <c r="I43" s="1881"/>
      <c r="J43" s="1881"/>
      <c r="K43" s="1881"/>
      <c r="L43" s="1881"/>
      <c r="M43" s="1881"/>
      <c r="N43" s="1881"/>
      <c r="O43" s="1881"/>
      <c r="P43" s="1881"/>
      <c r="Q43" s="1881"/>
      <c r="R43" s="1881"/>
      <c r="S43" s="257"/>
      <c r="T43" s="257"/>
      <c r="U43" s="257"/>
      <c r="V43" s="257"/>
      <c r="W43" s="257"/>
    </row>
    <row r="44" spans="1:23" ht="16.5" thickBot="1">
      <c r="A44" s="217" t="s">
        <v>153</v>
      </c>
      <c r="B44" s="37"/>
      <c r="C44" s="1886"/>
      <c r="D44" s="1886"/>
      <c r="E44" s="195"/>
      <c r="F44" s="195"/>
      <c r="G44" s="195"/>
      <c r="H44" s="195"/>
      <c r="I44" s="195"/>
      <c r="J44" s="195"/>
      <c r="K44" s="196"/>
      <c r="L44" s="196"/>
      <c r="M44" s="196"/>
      <c r="N44" s="196"/>
      <c r="O44" s="196"/>
      <c r="P44" s="196"/>
      <c r="Q44" s="196"/>
      <c r="R44" s="197">
        <v>0</v>
      </c>
      <c r="S44" s="197"/>
      <c r="T44" s="197"/>
      <c r="U44" s="197"/>
      <c r="V44" s="197"/>
      <c r="W44" s="197"/>
    </row>
    <row r="45" spans="1:30" ht="27.75" customHeight="1">
      <c r="A45" s="211" t="s">
        <v>26</v>
      </c>
      <c r="B45" s="1853" t="s">
        <v>581</v>
      </c>
      <c r="C45" s="1854"/>
      <c r="D45" s="1855"/>
      <c r="E45" s="231">
        <f>'1.sz.m-önk.össze.bev'!E61-'2.sz.m.összehasonlító'!B27</f>
        <v>177159235</v>
      </c>
      <c r="F45" s="231">
        <f>'1.sz.m-önk.össze.bev'!F61-'2.sz.m.összehasonlító'!C27</f>
        <v>177159235</v>
      </c>
      <c r="G45" s="231">
        <f>'1.sz.m-önk.össze.bev'!G61-'2.sz.m.összehasonlító'!D27</f>
        <v>177159235</v>
      </c>
      <c r="H45" s="231">
        <f>'1.sz.m-önk.össze.bev'!H61-'2.sz.m.összehasonlító'!E27</f>
        <v>179336447</v>
      </c>
      <c r="I45" s="231">
        <f>'1.sz.m-önk.össze.bev'!I61-'2.sz.m.összehasonlító'!F27</f>
        <v>240127262</v>
      </c>
      <c r="J45" s="231"/>
      <c r="K45" s="231">
        <f>'1.sz.m-önk.össze.bev'!K61-'2.sz.m.összehasonlító'!B27+R46</f>
        <v>164105960</v>
      </c>
      <c r="L45" s="231">
        <f>'1.sz.m-önk.össze.bev'!L61-'2.sz.m.összehasonlító'!C27</f>
        <v>161523441</v>
      </c>
      <c r="M45" s="231">
        <f>'1.sz.m-önk.össze.bev'!M61-'2.sz.m.összehasonlító'!D27</f>
        <v>161523441</v>
      </c>
      <c r="N45" s="231">
        <f>'1.sz.m-önk.össze.bev'!N61-'2.sz.m.összehasonlító'!E27</f>
        <v>163700653</v>
      </c>
      <c r="O45" s="231">
        <f>'1.sz.m-önk.össze.bev'!O61-'2.sz.m.összehasonlító'!F27</f>
        <v>224491468</v>
      </c>
      <c r="P45" s="231">
        <f>'1.sz.m-önk.össze.bev'!P61-'2.sz.m.összehasonlító'!G27</f>
        <v>-0.5217852192597567</v>
      </c>
      <c r="Q45" s="231"/>
      <c r="R45" s="231">
        <f>'1.sz.m-önk.össze.bev'!R61-R46</f>
        <v>13053275</v>
      </c>
      <c r="S45" s="231">
        <f>'1.sz.m-önk.össze.bev'!S61-S46</f>
        <v>13053275</v>
      </c>
      <c r="T45" s="231">
        <f>'1.sz.m-önk.össze.bev'!T61-T46</f>
        <v>13053275</v>
      </c>
      <c r="U45" s="231">
        <f>'1.sz.m-önk.össze.bev'!U61-U46</f>
        <v>13053275</v>
      </c>
      <c r="V45" s="231">
        <f>'1.sz.m-önk.össze.bev'!V61</f>
        <v>15635794</v>
      </c>
      <c r="W45" s="231"/>
      <c r="X45" s="231">
        <f>'1.sz.m-önk.össze.bev'!X61</f>
        <v>0</v>
      </c>
      <c r="Y45" s="231">
        <f>'1.sz.m-önk.össze.bev'!Y61</f>
        <v>0</v>
      </c>
      <c r="Z45" s="231">
        <f>'1.sz.m-önk.össze.bev'!Z61</f>
        <v>0</v>
      </c>
      <c r="AA45" s="231">
        <f>'1.sz.m-önk.össze.bev'!AA61</f>
        <v>0</v>
      </c>
      <c r="AB45" s="231">
        <f>'1.sz.m-önk.össze.bev'!AB61</f>
        <v>0</v>
      </c>
      <c r="AC45" s="231">
        <f>'1.sz.m-önk.össze.bev'!AC61</f>
        <v>0</v>
      </c>
      <c r="AD45" s="231">
        <f>'1.sz.m-önk.össze.bev'!AD61</f>
        <v>0</v>
      </c>
    </row>
    <row r="46" spans="1:30" ht="27.75" customHeight="1">
      <c r="A46" s="212" t="s">
        <v>27</v>
      </c>
      <c r="B46" s="1871" t="s">
        <v>582</v>
      </c>
      <c r="C46" s="1872"/>
      <c r="D46" s="1873"/>
      <c r="E46" s="232">
        <f>'2.sz.m.összehasonlító'!B27</f>
        <v>127120318</v>
      </c>
      <c r="F46" s="232">
        <f>'2.sz.m.összehasonlító'!C27</f>
        <v>127120318</v>
      </c>
      <c r="G46" s="232">
        <f>'2.sz.m.összehasonlító'!D27</f>
        <v>127120318</v>
      </c>
      <c r="H46" s="232">
        <f>'2.sz.m.összehasonlító'!E27</f>
        <v>127120318</v>
      </c>
      <c r="I46" s="232">
        <f>'2.sz.m.összehasonlító'!F27</f>
        <v>66329503</v>
      </c>
      <c r="J46" s="232"/>
      <c r="K46" s="232">
        <f>'2.sz.m.összehasonlító'!B27-R46</f>
        <v>124537799</v>
      </c>
      <c r="L46" s="232">
        <f>'2.sz.m.összehasonlító'!C27</f>
        <v>127120318</v>
      </c>
      <c r="M46" s="232">
        <f>'2.sz.m.összehasonlító'!D27</f>
        <v>127120318</v>
      </c>
      <c r="N46" s="232">
        <f>'2.sz.m.összehasonlító'!E27</f>
        <v>127120318</v>
      </c>
      <c r="O46" s="232">
        <f>'2.sz.m.összehasonlító'!F27</f>
        <v>66329503</v>
      </c>
      <c r="P46" s="232">
        <f>'2.sz.m.összehasonlító'!G27</f>
        <v>0.5217852192597567</v>
      </c>
      <c r="Q46" s="232"/>
      <c r="R46" s="232">
        <f>+'6.a.sz.m.fejlesztés (4)'!M10+'6.a.sz.m.fejlesztés (4)'!M34</f>
        <v>2582519</v>
      </c>
      <c r="S46" s="232">
        <f>+'6.a.sz.m.fejlesztés (4)'!N10+'6.a.sz.m.fejlesztés (4)'!N34</f>
        <v>2582519</v>
      </c>
      <c r="T46" s="232">
        <f>+'6.a.sz.m.fejlesztés (4)'!O10+'6.a.sz.m.fejlesztés (4)'!O34</f>
        <v>2582519</v>
      </c>
      <c r="U46" s="232">
        <f>+'6.a.sz.m.fejlesztés (4)'!P10+'6.a.sz.m.fejlesztés (4)'!P34</f>
        <v>2582519</v>
      </c>
      <c r="V46" s="232"/>
      <c r="W46" s="232"/>
      <c r="X46" s="232"/>
      <c r="Y46" s="232"/>
      <c r="Z46" s="232"/>
      <c r="AA46" s="232"/>
      <c r="AB46" s="232"/>
      <c r="AC46" s="232"/>
      <c r="AD46" s="232"/>
    </row>
    <row r="47" spans="1:30" ht="27.75" customHeight="1" thickBot="1">
      <c r="A47" s="213" t="s">
        <v>9</v>
      </c>
      <c r="B47" s="1887" t="s">
        <v>583</v>
      </c>
      <c r="C47" s="1888"/>
      <c r="D47" s="1889"/>
      <c r="E47" s="230">
        <f aca="true" t="shared" si="17" ref="E47:L47">E45+E46</f>
        <v>304279553</v>
      </c>
      <c r="F47" s="230">
        <f t="shared" si="17"/>
        <v>304279553</v>
      </c>
      <c r="G47" s="230">
        <f>G45+G46</f>
        <v>304279553</v>
      </c>
      <c r="H47" s="230">
        <f>H45+H46</f>
        <v>306456765</v>
      </c>
      <c r="I47" s="230">
        <f>I45+I46</f>
        <v>306456765</v>
      </c>
      <c r="J47" s="230">
        <f>J45+J46</f>
        <v>0</v>
      </c>
      <c r="K47" s="230">
        <f t="shared" si="17"/>
        <v>288643759</v>
      </c>
      <c r="L47" s="230">
        <f t="shared" si="17"/>
        <v>288643759</v>
      </c>
      <c r="M47" s="230">
        <f>M45+M46</f>
        <v>288643759</v>
      </c>
      <c r="N47" s="230">
        <f>N45+N46</f>
        <v>290820971</v>
      </c>
      <c r="O47" s="230">
        <f>O45+O46</f>
        <v>290820971</v>
      </c>
      <c r="P47" s="230">
        <f>P45+P46</f>
        <v>0</v>
      </c>
      <c r="Q47" s="230">
        <f aca="true" t="shared" si="18" ref="Q47:AC47">Q45+Q46</f>
        <v>0</v>
      </c>
      <c r="R47" s="230">
        <f t="shared" si="18"/>
        <v>15635794</v>
      </c>
      <c r="S47" s="230">
        <f t="shared" si="18"/>
        <v>15635794</v>
      </c>
      <c r="T47" s="230">
        <f>T45+T46</f>
        <v>15635794</v>
      </c>
      <c r="U47" s="230">
        <f t="shared" si="18"/>
        <v>15635794</v>
      </c>
      <c r="V47" s="230">
        <f t="shared" si="18"/>
        <v>15635794</v>
      </c>
      <c r="W47" s="230">
        <f t="shared" si="18"/>
        <v>0</v>
      </c>
      <c r="X47" s="230">
        <f t="shared" si="18"/>
        <v>0</v>
      </c>
      <c r="Y47" s="230">
        <f t="shared" si="18"/>
        <v>0</v>
      </c>
      <c r="Z47" s="230">
        <f t="shared" si="18"/>
        <v>0</v>
      </c>
      <c r="AA47" s="230">
        <f t="shared" si="18"/>
        <v>0</v>
      </c>
      <c r="AB47" s="230">
        <f t="shared" si="18"/>
        <v>0</v>
      </c>
      <c r="AC47" s="230">
        <f t="shared" si="18"/>
        <v>0</v>
      </c>
      <c r="AD47" s="230">
        <f>AD45+AD46</f>
        <v>0</v>
      </c>
    </row>
    <row r="48" spans="1:24" ht="15.75">
      <c r="A48" s="85"/>
      <c r="B48" s="37"/>
      <c r="C48" s="200"/>
      <c r="D48" s="201"/>
      <c r="E48" s="202"/>
      <c r="F48" s="202"/>
      <c r="G48" s="202"/>
      <c r="H48" s="202"/>
      <c r="I48" s="202"/>
      <c r="J48" s="202"/>
      <c r="K48" s="196"/>
      <c r="L48" s="196"/>
      <c r="M48" s="196"/>
      <c r="N48" s="196"/>
      <c r="O48" s="196"/>
      <c r="P48" s="196"/>
      <c r="Q48" s="196"/>
      <c r="R48" s="197"/>
      <c r="S48" s="197"/>
      <c r="T48" s="197"/>
      <c r="U48" s="197"/>
      <c r="V48" s="197"/>
      <c r="W48" s="197"/>
      <c r="X48" s="1"/>
    </row>
    <row r="49" spans="1:23" ht="15.75" customHeight="1">
      <c r="A49" s="85"/>
      <c r="B49" s="37"/>
      <c r="C49" s="1881" t="s">
        <v>154</v>
      </c>
      <c r="D49" s="1881"/>
      <c r="E49" s="1881"/>
      <c r="F49" s="1881"/>
      <c r="G49" s="1881"/>
      <c r="H49" s="1881"/>
      <c r="I49" s="1881"/>
      <c r="J49" s="1881"/>
      <c r="K49" s="1881"/>
      <c r="L49" s="1881"/>
      <c r="M49" s="1881"/>
      <c r="N49" s="1881"/>
      <c r="O49" s="1881"/>
      <c r="P49" s="1881"/>
      <c r="Q49" s="1881"/>
      <c r="R49" s="1881"/>
      <c r="S49" s="257"/>
      <c r="T49" s="257"/>
      <c r="U49" s="257"/>
      <c r="V49" s="257"/>
      <c r="W49" s="257"/>
    </row>
    <row r="50" spans="1:23" ht="16.5" thickBot="1">
      <c r="A50" s="217" t="s">
        <v>155</v>
      </c>
      <c r="B50" s="217"/>
      <c r="C50" s="1861"/>
      <c r="D50" s="1861"/>
      <c r="E50" s="195"/>
      <c r="F50" s="195"/>
      <c r="G50" s="195"/>
      <c r="H50" s="195"/>
      <c r="I50" s="195"/>
      <c r="J50" s="195"/>
      <c r="K50" s="196"/>
      <c r="L50" s="196"/>
      <c r="M50" s="196"/>
      <c r="N50" s="196"/>
      <c r="O50" s="196"/>
      <c r="P50" s="196"/>
      <c r="Q50" s="196"/>
      <c r="R50" s="197">
        <v>0</v>
      </c>
      <c r="S50" s="197"/>
      <c r="T50" s="197"/>
      <c r="U50" s="197"/>
      <c r="V50" s="197"/>
      <c r="W50" s="197"/>
    </row>
    <row r="51" spans="1:31" ht="27.75" customHeight="1">
      <c r="A51" s="211" t="s">
        <v>26</v>
      </c>
      <c r="B51" s="1853" t="s">
        <v>584</v>
      </c>
      <c r="C51" s="1854"/>
      <c r="D51" s="1855"/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/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/>
      <c r="R51" s="218">
        <v>0</v>
      </c>
      <c r="S51" s="218">
        <v>0</v>
      </c>
      <c r="T51" s="218">
        <v>0</v>
      </c>
      <c r="U51" s="218">
        <v>0</v>
      </c>
      <c r="V51" s="218">
        <v>0</v>
      </c>
      <c r="W51" s="218"/>
      <c r="X51" s="218">
        <v>0</v>
      </c>
      <c r="Y51" s="218">
        <v>0</v>
      </c>
      <c r="Z51" s="218">
        <v>0</v>
      </c>
      <c r="AA51" s="218">
        <v>0</v>
      </c>
      <c r="AB51" s="218">
        <v>0</v>
      </c>
      <c r="AC51" s="218">
        <v>0</v>
      </c>
      <c r="AD51" s="218">
        <v>0</v>
      </c>
      <c r="AE51" s="218">
        <v>0</v>
      </c>
    </row>
    <row r="52" spans="1:31" ht="27.75" customHeight="1">
      <c r="A52" s="212" t="s">
        <v>27</v>
      </c>
      <c r="B52" s="1871" t="s">
        <v>585</v>
      </c>
      <c r="C52" s="1872"/>
      <c r="D52" s="1873"/>
      <c r="E52" s="219">
        <f>'1.sz.m-önk.össze.bev'!E59</f>
        <v>0</v>
      </c>
      <c r="F52" s="219">
        <f>'1.sz.m-önk.össze.bev'!F59</f>
        <v>0</v>
      </c>
      <c r="G52" s="219">
        <f>'1.sz.m-önk.össze.bev'!G59</f>
        <v>0</v>
      </c>
      <c r="H52" s="219"/>
      <c r="I52" s="219"/>
      <c r="J52" s="219"/>
      <c r="K52" s="219">
        <f>'1.sz.m-önk.össze.bev'!K59</f>
        <v>0</v>
      </c>
      <c r="L52" s="219">
        <f>'1.sz.m-önk.össze.bev'!L59</f>
        <v>0</v>
      </c>
      <c r="M52" s="219">
        <f>'1.sz.m-önk.össze.bev'!M59</f>
        <v>0</v>
      </c>
      <c r="N52" s="219"/>
      <c r="O52" s="219"/>
      <c r="P52" s="219"/>
      <c r="Q52" s="219"/>
      <c r="R52" s="219">
        <f>'1.sz.m-önk.össze.bev'!R59</f>
        <v>0</v>
      </c>
      <c r="S52" s="219">
        <f>'1.sz.m-önk.össze.bev'!S59</f>
        <v>0</v>
      </c>
      <c r="T52" s="219">
        <f>'1.sz.m-önk.össze.bev'!T59</f>
        <v>0</v>
      </c>
      <c r="U52" s="219">
        <f>'1.sz.m-önk.össze.bev'!U59</f>
        <v>0</v>
      </c>
      <c r="V52" s="219">
        <f>'1.sz.m-önk.össze.bev'!V59</f>
        <v>0</v>
      </c>
      <c r="W52" s="219"/>
      <c r="X52" s="219">
        <f>'1.sz.m-önk.össze.bev'!X59</f>
        <v>0</v>
      </c>
      <c r="Y52" s="219">
        <f>'1.sz.m-önk.össze.bev'!Y59</f>
        <v>0</v>
      </c>
      <c r="Z52" s="219">
        <f>'1.sz.m-önk.össze.bev'!Z59</f>
        <v>0</v>
      </c>
      <c r="AA52" s="219">
        <f>'1.sz.m-önk.össze.bev'!AA59</f>
        <v>0</v>
      </c>
      <c r="AB52" s="219">
        <f>'1.sz.m-önk.össze.bev'!AB59</f>
        <v>0</v>
      </c>
      <c r="AC52" s="219">
        <f>'1.sz.m-önk.össze.bev'!AC59</f>
        <v>0</v>
      </c>
      <c r="AD52" s="219">
        <f>'1.sz.m-önk.össze.bev'!AD59</f>
        <v>0</v>
      </c>
      <c r="AE52" s="219">
        <f>'1.sz.m-önk.össze.bev'!AE59</f>
        <v>0</v>
      </c>
    </row>
    <row r="53" spans="1:31" ht="27.75" customHeight="1" thickBot="1">
      <c r="A53" s="213" t="s">
        <v>9</v>
      </c>
      <c r="B53" s="1874" t="s">
        <v>586</v>
      </c>
      <c r="C53" s="1875"/>
      <c r="D53" s="1876"/>
      <c r="E53" s="220">
        <f>E51+E52</f>
        <v>0</v>
      </c>
      <c r="F53" s="220">
        <f>F51+F52</f>
        <v>0</v>
      </c>
      <c r="G53" s="220">
        <f>G51+G52</f>
        <v>0</v>
      </c>
      <c r="H53" s="220">
        <f>H51+H52</f>
        <v>0</v>
      </c>
      <c r="I53" s="220">
        <f>I51+I52</f>
        <v>0</v>
      </c>
      <c r="J53" s="220"/>
      <c r="K53" s="220">
        <f aca="true" t="shared" si="19" ref="K53:AE53">K51+K52</f>
        <v>0</v>
      </c>
      <c r="L53" s="220">
        <f t="shared" si="19"/>
        <v>0</v>
      </c>
      <c r="M53" s="220">
        <f t="shared" si="19"/>
        <v>0</v>
      </c>
      <c r="N53" s="220">
        <f t="shared" si="19"/>
        <v>0</v>
      </c>
      <c r="O53" s="220">
        <f t="shared" si="19"/>
        <v>0</v>
      </c>
      <c r="P53" s="220">
        <f>P51+P52</f>
        <v>0</v>
      </c>
      <c r="Q53" s="220"/>
      <c r="R53" s="220">
        <f t="shared" si="19"/>
        <v>0</v>
      </c>
      <c r="S53" s="220">
        <f t="shared" si="19"/>
        <v>0</v>
      </c>
      <c r="T53" s="220">
        <f t="shared" si="19"/>
        <v>0</v>
      </c>
      <c r="U53" s="220">
        <f t="shared" si="19"/>
        <v>0</v>
      </c>
      <c r="V53" s="220">
        <f t="shared" si="19"/>
        <v>0</v>
      </c>
      <c r="W53" s="220"/>
      <c r="X53" s="220">
        <f t="shared" si="19"/>
        <v>0</v>
      </c>
      <c r="Y53" s="220">
        <f t="shared" si="19"/>
        <v>0</v>
      </c>
      <c r="Z53" s="220">
        <f t="shared" si="19"/>
        <v>0</v>
      </c>
      <c r="AA53" s="220">
        <f t="shared" si="19"/>
        <v>0</v>
      </c>
      <c r="AB53" s="220">
        <f t="shared" si="19"/>
        <v>0</v>
      </c>
      <c r="AC53" s="220">
        <f t="shared" si="19"/>
        <v>0</v>
      </c>
      <c r="AD53" s="220">
        <f t="shared" si="19"/>
        <v>0</v>
      </c>
      <c r="AE53" s="220">
        <f t="shared" si="19"/>
        <v>0</v>
      </c>
    </row>
    <row r="54" spans="1:28" ht="15.75">
      <c r="A54" s="85"/>
      <c r="B54" s="37"/>
      <c r="C54" s="200"/>
      <c r="D54" s="201"/>
      <c r="E54" s="202"/>
      <c r="F54" s="202"/>
      <c r="G54" s="202"/>
      <c r="H54" s="202"/>
      <c r="I54" s="202"/>
      <c r="J54" s="202"/>
      <c r="K54" s="196"/>
      <c r="L54" s="196"/>
      <c r="M54" s="196"/>
      <c r="N54" s="196"/>
      <c r="O54" s="196"/>
      <c r="P54" s="196"/>
      <c r="Q54" s="196"/>
      <c r="R54" s="197"/>
      <c r="S54" s="197"/>
      <c r="T54" s="197"/>
      <c r="U54" s="197"/>
      <c r="V54" s="197"/>
      <c r="W54" s="197"/>
      <c r="AB54" s="47"/>
    </row>
    <row r="55" spans="1:24" ht="15.75" customHeight="1">
      <c r="A55" s="85"/>
      <c r="B55" s="37"/>
      <c r="C55" s="1880" t="s">
        <v>54</v>
      </c>
      <c r="D55" s="1880"/>
      <c r="E55" s="1880"/>
      <c r="F55" s="1880"/>
      <c r="G55" s="1880"/>
      <c r="H55" s="1880"/>
      <c r="I55" s="1880"/>
      <c r="J55" s="1880"/>
      <c r="K55" s="1880"/>
      <c r="L55" s="1880"/>
      <c r="M55" s="1880"/>
      <c r="N55" s="1880"/>
      <c r="O55" s="1880"/>
      <c r="P55" s="1880"/>
      <c r="Q55" s="1880"/>
      <c r="R55" s="1881"/>
      <c r="S55" s="257"/>
      <c r="T55" s="257"/>
      <c r="U55" s="257"/>
      <c r="V55" s="257"/>
      <c r="W55" s="257"/>
      <c r="X55" s="101"/>
    </row>
    <row r="56" spans="1:23" ht="15.75">
      <c r="A56" s="85"/>
      <c r="B56" s="37"/>
      <c r="C56" s="203"/>
      <c r="D56" s="203"/>
      <c r="E56" s="203"/>
      <c r="F56" s="203"/>
      <c r="G56" s="203"/>
      <c r="H56" s="203"/>
      <c r="I56" s="203"/>
      <c r="J56" s="203"/>
      <c r="K56" s="204"/>
      <c r="L56" s="204"/>
      <c r="M56" s="204"/>
      <c r="N56" s="204"/>
      <c r="O56" s="204"/>
      <c r="P56" s="204"/>
      <c r="Q56" s="204"/>
      <c r="R56" s="205"/>
      <c r="S56" s="205"/>
      <c r="T56" s="205"/>
      <c r="U56" s="205"/>
      <c r="V56" s="205"/>
      <c r="W56" s="205"/>
    </row>
    <row r="57" spans="1:23" ht="16.5" thickBot="1">
      <c r="A57" s="217" t="s">
        <v>192</v>
      </c>
      <c r="C57" s="1882"/>
      <c r="D57" s="1882"/>
      <c r="E57" s="203"/>
      <c r="F57" s="203"/>
      <c r="G57" s="203"/>
      <c r="H57" s="203"/>
      <c r="I57" s="203"/>
      <c r="J57" s="203"/>
      <c r="K57" s="204"/>
      <c r="L57" s="204"/>
      <c r="M57" s="204"/>
      <c r="N57" s="204"/>
      <c r="O57" s="204"/>
      <c r="P57" s="204"/>
      <c r="Q57" s="204"/>
      <c r="R57" s="205"/>
      <c r="S57" s="205"/>
      <c r="T57" s="205"/>
      <c r="U57" s="205"/>
      <c r="V57" s="205"/>
      <c r="W57" s="205"/>
    </row>
    <row r="58" spans="1:30" ht="27" customHeight="1">
      <c r="A58" s="224" t="s">
        <v>26</v>
      </c>
      <c r="B58" s="1877" t="s">
        <v>156</v>
      </c>
      <c r="C58" s="1877"/>
      <c r="D58" s="1877"/>
      <c r="E58" s="225">
        <f>E59-E62</f>
        <v>293366907</v>
      </c>
      <c r="F58" s="225">
        <f>F59-F62</f>
        <v>293366907</v>
      </c>
      <c r="G58" s="225">
        <f>G59-G62</f>
        <v>293366907</v>
      </c>
      <c r="H58" s="225">
        <f>H59-H62</f>
        <v>309543354</v>
      </c>
      <c r="I58" s="225">
        <f>I59-I62</f>
        <v>309543354</v>
      </c>
      <c r="J58" s="225"/>
      <c r="K58" s="225">
        <f aca="true" t="shared" si="20" ref="K58:AC58">K59-K62</f>
        <v>277731113</v>
      </c>
      <c r="L58" s="225">
        <f t="shared" si="20"/>
        <v>277731113</v>
      </c>
      <c r="M58" s="225">
        <f>M59-M62</f>
        <v>277731113</v>
      </c>
      <c r="N58" s="225">
        <f>N59-N62</f>
        <v>293907560</v>
      </c>
      <c r="O58" s="225">
        <f>O59-O62</f>
        <v>293907560</v>
      </c>
      <c r="P58" s="225">
        <f>P59-P62</f>
        <v>0</v>
      </c>
      <c r="Q58" s="225"/>
      <c r="R58" s="225">
        <f t="shared" si="20"/>
        <v>15635794</v>
      </c>
      <c r="S58" s="225">
        <f t="shared" si="20"/>
        <v>15635794</v>
      </c>
      <c r="T58" s="225">
        <f>T59-T62</f>
        <v>15635794</v>
      </c>
      <c r="U58" s="225">
        <f t="shared" si="20"/>
        <v>15635794</v>
      </c>
      <c r="V58" s="225">
        <f t="shared" si="20"/>
        <v>15635794</v>
      </c>
      <c r="W58" s="225"/>
      <c r="X58" s="225">
        <f t="shared" si="20"/>
        <v>0</v>
      </c>
      <c r="Y58" s="225">
        <f t="shared" si="20"/>
        <v>0</v>
      </c>
      <c r="Z58" s="225">
        <f t="shared" si="20"/>
        <v>0</v>
      </c>
      <c r="AA58" s="225">
        <f t="shared" si="20"/>
        <v>0</v>
      </c>
      <c r="AB58" s="225">
        <f t="shared" si="20"/>
        <v>0</v>
      </c>
      <c r="AC58" s="225">
        <f t="shared" si="20"/>
        <v>0</v>
      </c>
      <c r="AD58" s="225">
        <f>AD59-AD62</f>
        <v>0</v>
      </c>
    </row>
    <row r="59" spans="1:30" ht="27" customHeight="1">
      <c r="A59" s="221" t="s">
        <v>157</v>
      </c>
      <c r="B59" s="1878" t="s">
        <v>450</v>
      </c>
      <c r="C59" s="1878"/>
      <c r="D59" s="1878"/>
      <c r="E59" s="226">
        <f>'1.sz.m-önk.össze.bev'!E58</f>
        <v>304279553</v>
      </c>
      <c r="F59" s="226">
        <f>'1.sz.m-önk.össze.bev'!F58</f>
        <v>304279553</v>
      </c>
      <c r="G59" s="226">
        <f>'1.sz.m-önk.össze.bev'!G58</f>
        <v>304279553</v>
      </c>
      <c r="H59" s="226">
        <f>'1.sz.m-önk.össze.bev'!H58</f>
        <v>320456000</v>
      </c>
      <c r="I59" s="226">
        <f>'1.sz.m-önk.össze.bev'!I58</f>
        <v>320456000</v>
      </c>
      <c r="J59" s="226"/>
      <c r="K59" s="226">
        <f>'1.sz.m-önk.össze.bev'!K58</f>
        <v>288643759</v>
      </c>
      <c r="L59" s="226">
        <f>'1.sz.m-önk.össze.bev'!L58</f>
        <v>288643759</v>
      </c>
      <c r="M59" s="226">
        <f>'1.sz.m-önk.össze.bev'!M58</f>
        <v>288643759</v>
      </c>
      <c r="N59" s="226">
        <f>'1.sz.m-önk.össze.bev'!N58</f>
        <v>304820206</v>
      </c>
      <c r="O59" s="226">
        <f>'1.sz.m-önk.össze.bev'!O58</f>
        <v>304820206</v>
      </c>
      <c r="P59" s="226">
        <f>'1.sz.m-önk.össze.bev'!P58</f>
        <v>1</v>
      </c>
      <c r="Q59" s="226"/>
      <c r="R59" s="226">
        <f>'1.sz.m-önk.össze.bev'!R58</f>
        <v>15635794</v>
      </c>
      <c r="S59" s="226">
        <f>'1.sz.m-önk.össze.bev'!S58</f>
        <v>15635794</v>
      </c>
      <c r="T59" s="226">
        <f>'1.sz.m-önk.össze.bev'!T58</f>
        <v>15635794</v>
      </c>
      <c r="U59" s="226">
        <f>'1.sz.m-önk.össze.bev'!U58</f>
        <v>15635794</v>
      </c>
      <c r="V59" s="226">
        <f>'1.sz.m-önk.össze.bev'!V58</f>
        <v>15635794</v>
      </c>
      <c r="W59" s="226"/>
      <c r="X59" s="226">
        <f>'1.sz.m-önk.össze.bev'!X58</f>
        <v>0</v>
      </c>
      <c r="Y59" s="226">
        <f>'1.sz.m-önk.össze.bev'!Y58</f>
        <v>0</v>
      </c>
      <c r="Z59" s="226">
        <f>'1.sz.m-önk.össze.bev'!Z58</f>
        <v>0</v>
      </c>
      <c r="AA59" s="226">
        <f>'1.sz.m-önk.össze.bev'!AA58</f>
        <v>0</v>
      </c>
      <c r="AB59" s="226">
        <f>'1.sz.m-önk.össze.bev'!AB58</f>
        <v>0</v>
      </c>
      <c r="AC59" s="226">
        <f>'1.sz.m-önk.össze.bev'!AC58</f>
        <v>0</v>
      </c>
      <c r="AD59" s="226">
        <f>'1.sz.m-önk.össze.bev'!AD58</f>
        <v>0</v>
      </c>
    </row>
    <row r="60" spans="1:30" ht="27" customHeight="1">
      <c r="A60" s="221" t="s">
        <v>158</v>
      </c>
      <c r="B60" s="1879" t="s">
        <v>196</v>
      </c>
      <c r="C60" s="1879"/>
      <c r="D60" s="1879"/>
      <c r="E60" s="226">
        <f>'1.sz.m-önk.össze.bev'!E61-'2.sz.m.összehasonlító'!B27+'1.sz.m-önk.össze.bev'!E60</f>
        <v>177159235</v>
      </c>
      <c r="F60" s="226">
        <f>'1.sz.m-önk.össze.bev'!F61-'2.sz.m.összehasonlító'!C27+'1.sz.m-önk.össze.bev'!F60</f>
        <v>177159235</v>
      </c>
      <c r="G60" s="226">
        <f>'1.sz.m-önk.össze.bev'!G61-'2.sz.m.összehasonlító'!D27+'1.sz.m-önk.össze.bev'!G60</f>
        <v>177159235</v>
      </c>
      <c r="H60" s="226">
        <f>+'2.sz.m.összehasonlító'!E18</f>
        <v>193335682</v>
      </c>
      <c r="I60" s="226">
        <f>'1.sz.m-önk.össze.bev'!I61-'2.sz.m.összehasonlító'!F27</f>
        <v>240127262</v>
      </c>
      <c r="J60" s="226"/>
      <c r="K60" s="226">
        <f>+K45</f>
        <v>164105960</v>
      </c>
      <c r="L60" s="226">
        <f>'1.sz.m-önk.össze.bev'!F61-'2.sz.m.összehasonlító'!C27+'1.sz.m-önk.össze.bev'!F60</f>
        <v>177159235</v>
      </c>
      <c r="M60" s="226">
        <f>'1.sz.m-önk.össze.bev'!G61-'2.sz.m.összehasonlító'!D27+'1.sz.m-önk.össze.bev'!G60</f>
        <v>177159235</v>
      </c>
      <c r="N60" s="226">
        <f>+'2.sz.m.összehasonlító'!E18</f>
        <v>193335682</v>
      </c>
      <c r="O60" s="226">
        <f>'1.sz.m-önk.össze.bev'!I61-'2.sz.m.összehasonlító'!F27+'1.sz.m-önk.össze.bev'!I60</f>
        <v>240127262</v>
      </c>
      <c r="P60" s="226">
        <f>'1.sz.m-önk.össze.bev'!P61</f>
        <v>0</v>
      </c>
      <c r="Q60" s="226"/>
      <c r="R60" s="226">
        <f>+R45</f>
        <v>13053275</v>
      </c>
      <c r="S60" s="226">
        <f>'1.sz.m-önk.össze.bev'!S61</f>
        <v>15635794</v>
      </c>
      <c r="T60" s="226">
        <f>'1.sz.m-önk.össze.bev'!T61</f>
        <v>15635794</v>
      </c>
      <c r="U60" s="226">
        <f>'1.sz.m-önk.össze.bev'!U61</f>
        <v>15635794</v>
      </c>
      <c r="V60" s="226">
        <f>'1.sz.m-önk.össze.bev'!V61</f>
        <v>15635794</v>
      </c>
      <c r="W60" s="226"/>
      <c r="X60" s="226">
        <f>'1.sz.m-önk.össze.bev'!X61</f>
        <v>0</v>
      </c>
      <c r="Y60" s="226">
        <f>'1.sz.m-önk.össze.bev'!Y61</f>
        <v>0</v>
      </c>
      <c r="Z60" s="226">
        <f>'1.sz.m-önk.össze.bev'!Z61</f>
        <v>0</v>
      </c>
      <c r="AA60" s="226">
        <f>'1.sz.m-önk.össze.bev'!AA61</f>
        <v>0</v>
      </c>
      <c r="AB60" s="226">
        <f>'1.sz.m-önk.össze.bev'!AB61</f>
        <v>0</v>
      </c>
      <c r="AC60" s="226">
        <f>'1.sz.m-önk.össze.bev'!AC61</f>
        <v>0</v>
      </c>
      <c r="AD60" s="226">
        <f>'1.sz.m-önk.össze.bev'!AD61</f>
        <v>0</v>
      </c>
    </row>
    <row r="61" spans="1:30" ht="27" customHeight="1">
      <c r="A61" s="222" t="s">
        <v>159</v>
      </c>
      <c r="B61" s="1879" t="s">
        <v>197</v>
      </c>
      <c r="C61" s="1879"/>
      <c r="D61" s="1879"/>
      <c r="E61" s="226">
        <f>'1.sz.m-önk.össze.bev'!E59+'2.sz.m.összehasonlító'!B27</f>
        <v>127120318</v>
      </c>
      <c r="F61" s="226">
        <f>'1.sz.m-önk.össze.bev'!F59+'2.sz.m.összehasonlító'!C27</f>
        <v>127120318</v>
      </c>
      <c r="G61" s="226">
        <f>'1.sz.m-önk.össze.bev'!G59+'2.sz.m.összehasonlító'!D27</f>
        <v>127120318</v>
      </c>
      <c r="H61" s="226">
        <f>'2.sz.m.összehasonlító'!E27+'2.sz.m.összehasonlító'!E28</f>
        <v>127120318</v>
      </c>
      <c r="I61" s="226">
        <f>'1.sz.m-önk.össze.bev'!I59+'2.sz.m.összehasonlító'!F27</f>
        <v>80328738</v>
      </c>
      <c r="J61" s="226"/>
      <c r="K61" s="226">
        <f>+K46</f>
        <v>124537799</v>
      </c>
      <c r="L61" s="226">
        <f>'1.sz.m-önk.össze.bev'!L59+'2.sz.m.összehasonlító'!C27</f>
        <v>127120318</v>
      </c>
      <c r="M61" s="226">
        <f>'1.sz.m-önk.össze.bev'!M59+'2.sz.m.összehasonlító'!D27</f>
        <v>127120318</v>
      </c>
      <c r="N61" s="226">
        <f>'2.sz.m.összehasonlító'!E27+'2.sz.m.összehasonlító'!E28</f>
        <v>127120318</v>
      </c>
      <c r="O61" s="226">
        <f>'1.sz.m-önk.össze.bev'!O59+'2.sz.m.összehasonlító'!F27</f>
        <v>80328738</v>
      </c>
      <c r="P61" s="226">
        <f>'1.sz.m-önk.össze.bev'!P59</f>
        <v>1</v>
      </c>
      <c r="Q61" s="226"/>
      <c r="R61" s="226">
        <f>+R46</f>
        <v>2582519</v>
      </c>
      <c r="S61" s="226">
        <f>+S46</f>
        <v>2582519</v>
      </c>
      <c r="T61" s="226">
        <f>+T46</f>
        <v>2582519</v>
      </c>
      <c r="U61" s="226">
        <f>+U46</f>
        <v>2582519</v>
      </c>
      <c r="V61" s="226">
        <f>+V46</f>
        <v>0</v>
      </c>
      <c r="W61" s="226"/>
      <c r="X61" s="226">
        <f>'1.sz.m-önk.össze.bev'!X59</f>
        <v>0</v>
      </c>
      <c r="Y61" s="226">
        <f>'1.sz.m-önk.össze.bev'!Y59</f>
        <v>0</v>
      </c>
      <c r="Z61" s="226">
        <f>'1.sz.m-önk.össze.bev'!Z59</f>
        <v>0</v>
      </c>
      <c r="AA61" s="226">
        <f>'1.sz.m-önk.össze.bev'!AA59</f>
        <v>0</v>
      </c>
      <c r="AB61" s="226">
        <f>'1.sz.m-önk.össze.bev'!AB59</f>
        <v>0</v>
      </c>
      <c r="AC61" s="226">
        <f>'1.sz.m-önk.össze.bev'!AC59</f>
        <v>0</v>
      </c>
      <c r="AD61" s="226">
        <f>'1.sz.m-önk.össze.bev'!AD59</f>
        <v>0</v>
      </c>
    </row>
    <row r="62" spans="1:30" ht="27" customHeight="1">
      <c r="A62" s="223" t="s">
        <v>160</v>
      </c>
      <c r="B62" s="1878" t="s">
        <v>451</v>
      </c>
      <c r="C62" s="1878"/>
      <c r="D62" s="1878"/>
      <c r="E62" s="227">
        <f>E30</f>
        <v>10912646</v>
      </c>
      <c r="F62" s="227">
        <f>F30</f>
        <v>10912646</v>
      </c>
      <c r="G62" s="227">
        <f>G30</f>
        <v>10912646</v>
      </c>
      <c r="H62" s="227">
        <f>H30</f>
        <v>10912646</v>
      </c>
      <c r="I62" s="227">
        <f>I30</f>
        <v>10912646</v>
      </c>
      <c r="J62" s="227"/>
      <c r="K62" s="227">
        <f aca="true" t="shared" si="21" ref="K62:AC62">K30</f>
        <v>10912646</v>
      </c>
      <c r="L62" s="227">
        <f t="shared" si="21"/>
        <v>10912646</v>
      </c>
      <c r="M62" s="227">
        <f>M30</f>
        <v>10912646</v>
      </c>
      <c r="N62" s="227">
        <f>N30</f>
        <v>10912646</v>
      </c>
      <c r="O62" s="227">
        <f>O30</f>
        <v>10912646</v>
      </c>
      <c r="P62" s="227">
        <f>P30</f>
        <v>1</v>
      </c>
      <c r="Q62" s="227"/>
      <c r="R62" s="227">
        <f t="shared" si="21"/>
        <v>0</v>
      </c>
      <c r="S62" s="227">
        <f t="shared" si="21"/>
        <v>0</v>
      </c>
      <c r="T62" s="227">
        <f t="shared" si="21"/>
        <v>0</v>
      </c>
      <c r="U62" s="227">
        <f t="shared" si="21"/>
        <v>0</v>
      </c>
      <c r="V62" s="227">
        <f t="shared" si="21"/>
        <v>0</v>
      </c>
      <c r="W62" s="227"/>
      <c r="X62" s="227">
        <f t="shared" si="21"/>
        <v>0</v>
      </c>
      <c r="Y62" s="227">
        <f t="shared" si="21"/>
        <v>0</v>
      </c>
      <c r="Z62" s="227">
        <f t="shared" si="21"/>
        <v>0</v>
      </c>
      <c r="AA62" s="227">
        <f t="shared" si="21"/>
        <v>0</v>
      </c>
      <c r="AB62" s="227">
        <f t="shared" si="21"/>
        <v>0</v>
      </c>
      <c r="AC62" s="227">
        <f t="shared" si="21"/>
        <v>0</v>
      </c>
      <c r="AD62" s="227">
        <f>AD30</f>
        <v>0</v>
      </c>
    </row>
    <row r="63" spans="1:30" ht="27" customHeight="1">
      <c r="A63" s="221" t="s">
        <v>161</v>
      </c>
      <c r="B63" s="1879" t="s">
        <v>198</v>
      </c>
      <c r="C63" s="1879"/>
      <c r="D63" s="1879"/>
      <c r="E63" s="226">
        <f>E33+E32</f>
        <v>10912646</v>
      </c>
      <c r="F63" s="226">
        <f>F33+F32</f>
        <v>10912646</v>
      </c>
      <c r="G63" s="226">
        <f>G33+G32</f>
        <v>10912646</v>
      </c>
      <c r="H63" s="226">
        <f>H33+H32</f>
        <v>10912646</v>
      </c>
      <c r="I63" s="226">
        <f>I33+I32</f>
        <v>10912646</v>
      </c>
      <c r="J63" s="226"/>
      <c r="K63" s="226">
        <f>K33+K32</f>
        <v>10912646</v>
      </c>
      <c r="L63" s="226">
        <f>L62</f>
        <v>10912646</v>
      </c>
      <c r="M63" s="226">
        <f>M62</f>
        <v>10912646</v>
      </c>
      <c r="N63" s="226">
        <f>N62</f>
        <v>10912646</v>
      </c>
      <c r="O63" s="226">
        <f>O62</f>
        <v>10912646</v>
      </c>
      <c r="P63" s="226">
        <f>P62</f>
        <v>1</v>
      </c>
      <c r="Q63" s="226"/>
      <c r="R63" s="226">
        <v>0</v>
      </c>
      <c r="S63" s="226">
        <v>0</v>
      </c>
      <c r="T63" s="226">
        <v>0</v>
      </c>
      <c r="U63" s="226">
        <v>0</v>
      </c>
      <c r="V63" s="226">
        <v>0</v>
      </c>
      <c r="W63" s="226"/>
      <c r="X63" s="226">
        <v>0</v>
      </c>
      <c r="Y63" s="226">
        <v>0</v>
      </c>
      <c r="Z63" s="226">
        <v>0</v>
      </c>
      <c r="AA63" s="226">
        <v>0</v>
      </c>
      <c r="AB63" s="226">
        <v>0</v>
      </c>
      <c r="AC63" s="226">
        <v>0</v>
      </c>
      <c r="AD63" s="226">
        <v>0</v>
      </c>
    </row>
    <row r="64" spans="1:30" ht="27" customHeight="1" thickBot="1">
      <c r="A64" s="228" t="s">
        <v>162</v>
      </c>
      <c r="B64" s="1870" t="s">
        <v>199</v>
      </c>
      <c r="C64" s="1870"/>
      <c r="D64" s="1870"/>
      <c r="E64" s="229">
        <f>E31</f>
        <v>0</v>
      </c>
      <c r="F64" s="229">
        <f aca="true" t="shared" si="22" ref="F64:P64">F31</f>
        <v>0</v>
      </c>
      <c r="G64" s="229">
        <f>G31</f>
        <v>0</v>
      </c>
      <c r="H64" s="229">
        <f>H31</f>
        <v>0</v>
      </c>
      <c r="I64" s="229">
        <f>I31</f>
        <v>0</v>
      </c>
      <c r="J64" s="229"/>
      <c r="K64" s="229">
        <f t="shared" si="22"/>
        <v>0</v>
      </c>
      <c r="L64" s="229">
        <f t="shared" si="22"/>
        <v>0</v>
      </c>
      <c r="M64" s="229">
        <f>M31</f>
        <v>0</v>
      </c>
      <c r="N64" s="229">
        <f>N31</f>
        <v>0</v>
      </c>
      <c r="O64" s="229">
        <f t="shared" si="22"/>
        <v>0</v>
      </c>
      <c r="P64" s="229">
        <f t="shared" si="22"/>
        <v>0</v>
      </c>
      <c r="Q64" s="229"/>
      <c r="R64" s="229">
        <v>0</v>
      </c>
      <c r="S64" s="229">
        <v>0</v>
      </c>
      <c r="T64" s="229">
        <v>0</v>
      </c>
      <c r="U64" s="229">
        <v>0</v>
      </c>
      <c r="V64" s="229">
        <v>0</v>
      </c>
      <c r="W64" s="229"/>
      <c r="X64" s="229">
        <v>0</v>
      </c>
      <c r="Y64" s="229">
        <v>0</v>
      </c>
      <c r="Z64" s="229">
        <v>0</v>
      </c>
      <c r="AA64" s="229">
        <v>0</v>
      </c>
      <c r="AB64" s="229">
        <v>0</v>
      </c>
      <c r="AC64" s="229">
        <v>0</v>
      </c>
      <c r="AD64" s="229">
        <v>0</v>
      </c>
    </row>
  </sheetData>
  <sheetProtection/>
  <mergeCells count="40"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35" r:id="rId1"/>
  <headerFooter differentOddEven="1" alignWithMargins="0">
    <oddHeader xml:space="preserve">&amp;C&amp;"Algerian,Normál"&amp;16BELED VÁROS ÖNKORMÁNYZATA
2020.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1" manualBreakCount="1">
    <brk id="27" max="6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BreakPreview" zoomScale="60" zoomScalePageLayoutView="0" workbookViewId="0" topLeftCell="A4">
      <selection activeCell="K26" sqref="K26"/>
    </sheetView>
  </sheetViews>
  <sheetFormatPr defaultColWidth="10.7109375" defaultRowHeight="12.75"/>
  <cols>
    <col min="1" max="1" width="67.7109375" style="1334" customWidth="1"/>
    <col min="2" max="2" width="6.140625" style="1334" customWidth="1"/>
    <col min="3" max="3" width="11.7109375" style="1334" customWidth="1"/>
    <col min="4" max="4" width="17.28125" style="1334" customWidth="1"/>
    <col min="5" max="5" width="13.28125" style="1334" customWidth="1"/>
    <col min="6" max="16384" width="10.7109375" style="1334" customWidth="1"/>
  </cols>
  <sheetData>
    <row r="1" spans="1:6" ht="36" customHeight="1">
      <c r="A1" s="2045" t="s">
        <v>931</v>
      </c>
      <c r="B1" s="2045"/>
      <c r="C1" s="2045"/>
      <c r="D1" s="2045"/>
      <c r="E1" s="2045"/>
      <c r="F1" s="1317"/>
    </row>
    <row r="2" spans="1:6" ht="16.5" thickBot="1">
      <c r="A2" s="1358" t="s">
        <v>906</v>
      </c>
      <c r="B2" s="1359"/>
      <c r="C2" s="1359"/>
      <c r="D2" s="2054" t="s">
        <v>908</v>
      </c>
      <c r="E2" s="2054"/>
      <c r="F2" s="1317"/>
    </row>
    <row r="3" spans="1:6" ht="51.75" thickBot="1">
      <c r="A3" s="1421" t="s">
        <v>3</v>
      </c>
      <c r="B3" s="1422" t="s">
        <v>5</v>
      </c>
      <c r="C3" s="1423" t="s">
        <v>909</v>
      </c>
      <c r="D3" s="1424" t="s">
        <v>910</v>
      </c>
      <c r="E3" s="1425" t="s">
        <v>911</v>
      </c>
      <c r="F3" s="1317"/>
    </row>
    <row r="4" spans="1:6" ht="16.5" thickBot="1">
      <c r="A4" s="1426" t="s">
        <v>546</v>
      </c>
      <c r="B4" s="1427" t="s">
        <v>14</v>
      </c>
      <c r="C4" s="1427" t="s">
        <v>547</v>
      </c>
      <c r="D4" s="1428" t="s">
        <v>548</v>
      </c>
      <c r="E4" s="1429"/>
      <c r="F4" s="1317"/>
    </row>
    <row r="5" spans="1:6" ht="15.75">
      <c r="A5" s="1430" t="s">
        <v>912</v>
      </c>
      <c r="B5" s="1431" t="s">
        <v>26</v>
      </c>
      <c r="C5" s="1432">
        <v>82</v>
      </c>
      <c r="D5" s="1433">
        <v>16153403</v>
      </c>
      <c r="E5" s="1434"/>
      <c r="F5" s="1317"/>
    </row>
    <row r="6" spans="1:6" ht="15.75">
      <c r="A6" s="1430" t="s">
        <v>913</v>
      </c>
      <c r="B6" s="1435" t="s">
        <v>27</v>
      </c>
      <c r="C6" s="1436"/>
      <c r="D6" s="1437"/>
      <c r="E6" s="1438"/>
      <c r="F6" s="1317"/>
    </row>
    <row r="7" spans="1:6" ht="15.75">
      <c r="A7" s="1430" t="s">
        <v>914</v>
      </c>
      <c r="B7" s="1439" t="s">
        <v>9</v>
      </c>
      <c r="C7" s="1436">
        <v>21</v>
      </c>
      <c r="D7" s="1433">
        <v>1423600</v>
      </c>
      <c r="E7" s="1438"/>
      <c r="F7" s="1317"/>
    </row>
    <row r="8" spans="1:6" ht="16.5" thickBot="1">
      <c r="A8" s="1440" t="s">
        <v>915</v>
      </c>
      <c r="B8" s="1441" t="s">
        <v>10</v>
      </c>
      <c r="C8" s="1442"/>
      <c r="D8" s="1443"/>
      <c r="E8" s="1444"/>
      <c r="F8" s="1317"/>
    </row>
    <row r="9" spans="1:6" ht="16.5" thickBot="1">
      <c r="A9" s="1445" t="s">
        <v>916</v>
      </c>
      <c r="B9" s="1446" t="s">
        <v>11</v>
      </c>
      <c r="C9" s="1447"/>
      <c r="D9" s="1448"/>
      <c r="E9" s="1449">
        <f>SUM(E5:E8)</f>
        <v>0</v>
      </c>
      <c r="F9" s="1317"/>
    </row>
    <row r="10" spans="1:6" ht="15.75">
      <c r="A10" s="1450" t="s">
        <v>917</v>
      </c>
      <c r="B10" s="1431" t="s">
        <v>12</v>
      </c>
      <c r="C10" s="1432"/>
      <c r="D10" s="1451"/>
      <c r="E10" s="1434"/>
      <c r="F10" s="1317"/>
    </row>
    <row r="11" spans="1:6" ht="15.75">
      <c r="A11" s="1430" t="s">
        <v>918</v>
      </c>
      <c r="B11" s="1452" t="s">
        <v>13</v>
      </c>
      <c r="C11" s="1436"/>
      <c r="D11" s="1437"/>
      <c r="E11" s="1453"/>
      <c r="F11" s="1317"/>
    </row>
    <row r="12" spans="1:6" ht="15.75">
      <c r="A12" s="1430" t="s">
        <v>919</v>
      </c>
      <c r="B12" s="1452" t="s">
        <v>56</v>
      </c>
      <c r="C12" s="1436"/>
      <c r="D12" s="1437"/>
      <c r="E12" s="1453"/>
      <c r="F12" s="1317"/>
    </row>
    <row r="13" spans="1:6" ht="16.5" thickBot="1">
      <c r="A13" s="1440" t="s">
        <v>920</v>
      </c>
      <c r="B13" s="1441" t="s">
        <v>57</v>
      </c>
      <c r="C13" s="1442"/>
      <c r="D13" s="1443"/>
      <c r="E13" s="1454"/>
      <c r="F13" s="1317"/>
    </row>
    <row r="14" spans="1:6" ht="16.5" thickBot="1">
      <c r="A14" s="1445" t="s">
        <v>921</v>
      </c>
      <c r="B14" s="1455" t="s">
        <v>384</v>
      </c>
      <c r="C14" s="1456"/>
      <c r="D14" s="1457">
        <f>+D15+D16+D17</f>
        <v>0</v>
      </c>
      <c r="E14" s="1429"/>
      <c r="F14" s="1317"/>
    </row>
    <row r="15" spans="1:6" ht="15.75">
      <c r="A15" s="1450" t="s">
        <v>922</v>
      </c>
      <c r="B15" s="1431" t="s">
        <v>404</v>
      </c>
      <c r="C15" s="1432"/>
      <c r="D15" s="1451"/>
      <c r="E15" s="1458"/>
      <c r="F15" s="1317"/>
    </row>
    <row r="16" spans="1:6" ht="15.75">
      <c r="A16" s="1430" t="s">
        <v>923</v>
      </c>
      <c r="B16" s="1452" t="s">
        <v>405</v>
      </c>
      <c r="C16" s="1436"/>
      <c r="D16" s="1437"/>
      <c r="E16" s="1453"/>
      <c r="F16" s="1317"/>
    </row>
    <row r="17" spans="1:6" ht="16.5" thickBot="1">
      <c r="A17" s="1440" t="s">
        <v>924</v>
      </c>
      <c r="B17" s="1441" t="s">
        <v>407</v>
      </c>
      <c r="C17" s="1442"/>
      <c r="D17" s="1443"/>
      <c r="E17" s="1454"/>
      <c r="F17" s="1317"/>
    </row>
    <row r="18" spans="1:6" ht="16.5" thickBot="1">
      <c r="A18" s="1445" t="s">
        <v>925</v>
      </c>
      <c r="B18" s="1455" t="s">
        <v>409</v>
      </c>
      <c r="C18" s="1456"/>
      <c r="D18" s="1457">
        <f>+D19+D20+D21</f>
        <v>0</v>
      </c>
      <c r="E18" s="1429"/>
      <c r="F18" s="1317"/>
    </row>
    <row r="19" spans="1:6" ht="15.75">
      <c r="A19" s="1450" t="s">
        <v>926</v>
      </c>
      <c r="B19" s="1431" t="s">
        <v>411</v>
      </c>
      <c r="C19" s="1432"/>
      <c r="D19" s="1451"/>
      <c r="E19" s="1458"/>
      <c r="F19" s="1317"/>
    </row>
    <row r="20" spans="1:6" ht="15.75">
      <c r="A20" s="1430" t="s">
        <v>927</v>
      </c>
      <c r="B20" s="1452" t="s">
        <v>557</v>
      </c>
      <c r="C20" s="1436"/>
      <c r="D20" s="1437"/>
      <c r="E20" s="1453"/>
      <c r="F20" s="1317"/>
    </row>
    <row r="21" spans="1:6" ht="15.75">
      <c r="A21" s="1430" t="s">
        <v>928</v>
      </c>
      <c r="B21" s="1452" t="s">
        <v>558</v>
      </c>
      <c r="C21" s="1436"/>
      <c r="D21" s="1437"/>
      <c r="E21" s="1453"/>
      <c r="F21" s="1317"/>
    </row>
    <row r="22" spans="1:6" ht="15.75">
      <c r="A22" s="1430" t="s">
        <v>929</v>
      </c>
      <c r="B22" s="1452" t="s">
        <v>676</v>
      </c>
      <c r="C22" s="1436"/>
      <c r="D22" s="1437"/>
      <c r="E22" s="1453"/>
      <c r="F22" s="1317"/>
    </row>
    <row r="23" spans="1:6" ht="15.75">
      <c r="A23" s="1430"/>
      <c r="B23" s="1452" t="s">
        <v>608</v>
      </c>
      <c r="C23" s="1436"/>
      <c r="D23" s="1437"/>
      <c r="E23" s="1453"/>
      <c r="F23" s="1317"/>
    </row>
    <row r="24" spans="1:6" ht="15.75">
      <c r="A24" s="1430"/>
      <c r="B24" s="1452" t="s">
        <v>677</v>
      </c>
      <c r="C24" s="1436"/>
      <c r="D24" s="1437"/>
      <c r="E24" s="1453"/>
      <c r="F24" s="1317"/>
    </row>
    <row r="25" spans="1:6" ht="15.75">
      <c r="A25" s="1430"/>
      <c r="B25" s="1452" t="s">
        <v>678</v>
      </c>
      <c r="C25" s="1436"/>
      <c r="D25" s="1437"/>
      <c r="E25" s="1453"/>
      <c r="F25" s="1317"/>
    </row>
    <row r="26" spans="1:6" ht="15.75">
      <c r="A26" s="1430"/>
      <c r="B26" s="1452" t="s">
        <v>679</v>
      </c>
      <c r="C26" s="1436"/>
      <c r="D26" s="1437"/>
      <c r="E26" s="1453"/>
      <c r="F26" s="1317"/>
    </row>
    <row r="27" spans="1:6" ht="15.75">
      <c r="A27" s="1430"/>
      <c r="B27" s="1452" t="s">
        <v>680</v>
      </c>
      <c r="C27" s="1436"/>
      <c r="D27" s="1437"/>
      <c r="E27" s="1453"/>
      <c r="F27" s="1317"/>
    </row>
    <row r="28" spans="1:6" ht="15.75">
      <c r="A28" s="1430"/>
      <c r="B28" s="1452" t="s">
        <v>803</v>
      </c>
      <c r="C28" s="1436"/>
      <c r="D28" s="1437"/>
      <c r="E28" s="1453"/>
      <c r="F28" s="1317"/>
    </row>
    <row r="29" spans="1:6" ht="15.75">
      <c r="A29" s="1430"/>
      <c r="B29" s="1452" t="s">
        <v>805</v>
      </c>
      <c r="C29" s="1436"/>
      <c r="D29" s="1437"/>
      <c r="E29" s="1453"/>
      <c r="F29" s="1317"/>
    </row>
    <row r="30" spans="1:6" ht="15.75">
      <c r="A30" s="1430"/>
      <c r="B30" s="1452" t="s">
        <v>807</v>
      </c>
      <c r="C30" s="1436"/>
      <c r="D30" s="1437"/>
      <c r="E30" s="1453"/>
      <c r="F30" s="1317"/>
    </row>
    <row r="31" spans="1:6" ht="15.75">
      <c r="A31" s="1430"/>
      <c r="B31" s="1452" t="s">
        <v>809</v>
      </c>
      <c r="C31" s="1436"/>
      <c r="D31" s="1437"/>
      <c r="E31" s="1453"/>
      <c r="F31" s="1317"/>
    </row>
    <row r="32" spans="1:6" ht="15.75">
      <c r="A32" s="1430"/>
      <c r="B32" s="1452" t="s">
        <v>811</v>
      </c>
      <c r="C32" s="1436"/>
      <c r="D32" s="1437"/>
      <c r="E32" s="1453"/>
      <c r="F32" s="1317"/>
    </row>
    <row r="33" spans="1:6" ht="15.75">
      <c r="A33" s="1430"/>
      <c r="B33" s="1452" t="s">
        <v>813</v>
      </c>
      <c r="C33" s="1436"/>
      <c r="D33" s="1437"/>
      <c r="E33" s="1453"/>
      <c r="F33" s="1317"/>
    </row>
    <row r="34" spans="1:6" ht="15.75">
      <c r="A34" s="1430"/>
      <c r="B34" s="1452" t="s">
        <v>815</v>
      </c>
      <c r="C34" s="1436"/>
      <c r="D34" s="1437"/>
      <c r="E34" s="1453"/>
      <c r="F34" s="1317"/>
    </row>
    <row r="35" spans="1:6" ht="15.75">
      <c r="A35" s="1430"/>
      <c r="B35" s="1452" t="s">
        <v>817</v>
      </c>
      <c r="C35" s="1436"/>
      <c r="D35" s="1437"/>
      <c r="E35" s="1453"/>
      <c r="F35" s="1317"/>
    </row>
    <row r="36" spans="1:6" ht="15.75">
      <c r="A36" s="1430"/>
      <c r="B36" s="1452" t="s">
        <v>819</v>
      </c>
      <c r="C36" s="1436"/>
      <c r="D36" s="1437"/>
      <c r="E36" s="1453"/>
      <c r="F36" s="1317"/>
    </row>
    <row r="37" spans="1:6" ht="16.5" thickBot="1">
      <c r="A37" s="1440"/>
      <c r="B37" s="1441" t="s">
        <v>821</v>
      </c>
      <c r="C37" s="1442"/>
      <c r="D37" s="1443"/>
      <c r="E37" s="1454"/>
      <c r="F37" s="1317"/>
    </row>
    <row r="38" spans="1:6" ht="16.5" thickBot="1">
      <c r="A38" s="2055" t="s">
        <v>930</v>
      </c>
      <c r="B38" s="2055"/>
      <c r="C38" s="1459"/>
      <c r="D38" s="1460">
        <f>SUM(D5:D8)</f>
        <v>17577003</v>
      </c>
      <c r="E38" s="1461">
        <f>E9+E14+E18+E19+E20+E21+E22</f>
        <v>0</v>
      </c>
      <c r="F38" s="1462"/>
    </row>
  </sheetData>
  <sheetProtection/>
  <mergeCells count="3">
    <mergeCell ref="A1:E1"/>
    <mergeCell ref="D2:E2"/>
    <mergeCell ref="A38:B38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BreakPreview" zoomScale="60" zoomScalePageLayoutView="0" workbookViewId="0" topLeftCell="A1">
      <selection activeCell="A9" sqref="A9"/>
    </sheetView>
  </sheetViews>
  <sheetFormatPr defaultColWidth="10.7109375" defaultRowHeight="62.25" customHeight="1"/>
  <cols>
    <col min="1" max="1" width="67.7109375" style="1334" customWidth="1"/>
    <col min="2" max="2" width="11.421875" style="1334" customWidth="1"/>
    <col min="3" max="3" width="12.7109375" style="1334" customWidth="1"/>
    <col min="4" max="4" width="15.28125" style="1334" customWidth="1"/>
    <col min="5" max="5" width="18.57421875" style="1334" customWidth="1"/>
    <col min="6" max="16384" width="10.7109375" style="1334" customWidth="1"/>
  </cols>
  <sheetData>
    <row r="1" spans="1:6" ht="62.25" customHeight="1">
      <c r="A1" s="2045" t="s">
        <v>932</v>
      </c>
      <c r="B1" s="2045"/>
      <c r="C1" s="2045"/>
      <c r="D1" s="2045"/>
      <c r="E1" s="2045"/>
      <c r="F1" s="1317"/>
    </row>
    <row r="2" spans="1:6" ht="62.25" customHeight="1" thickBot="1">
      <c r="A2" s="1358" t="s">
        <v>211</v>
      </c>
      <c r="B2" s="1359"/>
      <c r="C2" s="1359"/>
      <c r="D2" s="2054" t="s">
        <v>908</v>
      </c>
      <c r="E2" s="2054"/>
      <c r="F2" s="1317"/>
    </row>
    <row r="3" spans="1:6" ht="47.25" customHeight="1" thickBot="1">
      <c r="A3" s="1421" t="s">
        <v>3</v>
      </c>
      <c r="B3" s="1422" t="s">
        <v>5</v>
      </c>
      <c r="C3" s="1423" t="s">
        <v>909</v>
      </c>
      <c r="D3" s="1424" t="s">
        <v>910</v>
      </c>
      <c r="E3" s="1425" t="s">
        <v>911</v>
      </c>
      <c r="F3" s="1317"/>
    </row>
    <row r="4" spans="1:6" ht="22.5" customHeight="1" thickBot="1">
      <c r="A4" s="1426" t="s">
        <v>546</v>
      </c>
      <c r="B4" s="1427" t="s">
        <v>14</v>
      </c>
      <c r="C4" s="1427" t="s">
        <v>547</v>
      </c>
      <c r="D4" s="1428" t="s">
        <v>548</v>
      </c>
      <c r="E4" s="1429"/>
      <c r="F4" s="1317"/>
    </row>
    <row r="5" spans="1:6" ht="22.5" customHeight="1">
      <c r="A5" s="1430" t="s">
        <v>912</v>
      </c>
      <c r="B5" s="1431" t="s">
        <v>26</v>
      </c>
      <c r="C5" s="1432">
        <v>256</v>
      </c>
      <c r="D5" s="1463">
        <v>35886645</v>
      </c>
      <c r="E5" s="1434"/>
      <c r="F5" s="1317"/>
    </row>
    <row r="6" spans="1:6" ht="22.5" customHeight="1">
      <c r="A6" s="1430" t="s">
        <v>913</v>
      </c>
      <c r="B6" s="1452" t="s">
        <v>27</v>
      </c>
      <c r="C6" s="1436"/>
      <c r="D6" s="1437"/>
      <c r="E6" s="1438"/>
      <c r="F6" s="1317"/>
    </row>
    <row r="7" spans="1:6" ht="22.5" customHeight="1">
      <c r="A7" s="1430" t="s">
        <v>914</v>
      </c>
      <c r="B7" s="1431" t="s">
        <v>9</v>
      </c>
      <c r="C7" s="1436">
        <v>123</v>
      </c>
      <c r="D7" s="1433">
        <v>8458233</v>
      </c>
      <c r="E7" s="1438"/>
      <c r="F7" s="1317"/>
    </row>
    <row r="8" spans="1:6" ht="22.5" customHeight="1" thickBot="1">
      <c r="A8" s="1440" t="s">
        <v>915</v>
      </c>
      <c r="B8" s="1441" t="s">
        <v>10</v>
      </c>
      <c r="C8" s="1442"/>
      <c r="D8" s="1443"/>
      <c r="E8" s="1444"/>
      <c r="F8" s="1317"/>
    </row>
    <row r="9" spans="1:6" ht="22.5" customHeight="1" thickBot="1">
      <c r="A9" s="1445" t="s">
        <v>916</v>
      </c>
      <c r="B9" s="1446" t="s">
        <v>11</v>
      </c>
      <c r="C9" s="1447"/>
      <c r="D9" s="1448"/>
      <c r="E9" s="1449">
        <f>SUM(E5:E8)</f>
        <v>0</v>
      </c>
      <c r="F9" s="1317"/>
    </row>
    <row r="10" spans="1:6" ht="22.5" customHeight="1">
      <c r="A10" s="1450" t="s">
        <v>917</v>
      </c>
      <c r="B10" s="1431" t="s">
        <v>12</v>
      </c>
      <c r="C10" s="1432"/>
      <c r="D10" s="1451"/>
      <c r="E10" s="1434"/>
      <c r="F10" s="1317"/>
    </row>
    <row r="11" spans="1:6" ht="22.5" customHeight="1">
      <c r="A11" s="1430" t="s">
        <v>918</v>
      </c>
      <c r="B11" s="1452" t="s">
        <v>13</v>
      </c>
      <c r="C11" s="1436"/>
      <c r="D11" s="1437"/>
      <c r="E11" s="1453"/>
      <c r="F11" s="1317"/>
    </row>
    <row r="12" spans="1:6" ht="22.5" customHeight="1">
      <c r="A12" s="1430" t="s">
        <v>919</v>
      </c>
      <c r="B12" s="1452" t="s">
        <v>56</v>
      </c>
      <c r="C12" s="1436"/>
      <c r="D12" s="1437"/>
      <c r="E12" s="1453"/>
      <c r="F12" s="1317"/>
    </row>
    <row r="13" spans="1:6" ht="22.5" customHeight="1" thickBot="1">
      <c r="A13" s="1440" t="s">
        <v>920</v>
      </c>
      <c r="B13" s="1441" t="s">
        <v>57</v>
      </c>
      <c r="C13" s="1442"/>
      <c r="D13" s="1443"/>
      <c r="E13" s="1454"/>
      <c r="F13" s="1317"/>
    </row>
    <row r="14" spans="1:6" ht="22.5" customHeight="1" thickBot="1">
      <c r="A14" s="1445" t="s">
        <v>921</v>
      </c>
      <c r="B14" s="1455" t="s">
        <v>384</v>
      </c>
      <c r="C14" s="1456"/>
      <c r="D14" s="1457">
        <f>+D15+D16+D17</f>
        <v>0</v>
      </c>
      <c r="E14" s="1429"/>
      <c r="F14" s="1317"/>
    </row>
    <row r="15" spans="1:6" ht="22.5" customHeight="1">
      <c r="A15" s="1450" t="s">
        <v>922</v>
      </c>
      <c r="B15" s="1431" t="s">
        <v>404</v>
      </c>
      <c r="C15" s="1432"/>
      <c r="D15" s="1451"/>
      <c r="E15" s="1458"/>
      <c r="F15" s="1317"/>
    </row>
    <row r="16" spans="1:6" ht="22.5" customHeight="1">
      <c r="A16" s="1430" t="s">
        <v>923</v>
      </c>
      <c r="B16" s="1452" t="s">
        <v>405</v>
      </c>
      <c r="C16" s="1436"/>
      <c r="D16" s="1437"/>
      <c r="E16" s="1453"/>
      <c r="F16" s="1317"/>
    </row>
    <row r="17" spans="1:6" ht="22.5" customHeight="1" thickBot="1">
      <c r="A17" s="1440" t="s">
        <v>924</v>
      </c>
      <c r="B17" s="1441" t="s">
        <v>407</v>
      </c>
      <c r="C17" s="1442"/>
      <c r="D17" s="1443"/>
      <c r="E17" s="1454"/>
      <c r="F17" s="1317"/>
    </row>
    <row r="18" spans="1:6" ht="22.5" customHeight="1" thickBot="1">
      <c r="A18" s="1445" t="s">
        <v>925</v>
      </c>
      <c r="B18" s="1455" t="s">
        <v>409</v>
      </c>
      <c r="C18" s="1456"/>
      <c r="D18" s="1457">
        <f>+D19+D20+D21</f>
        <v>0</v>
      </c>
      <c r="E18" s="1429"/>
      <c r="F18" s="1317"/>
    </row>
    <row r="19" spans="1:6" ht="22.5" customHeight="1">
      <c r="A19" s="1450" t="s">
        <v>926</v>
      </c>
      <c r="B19" s="1431" t="s">
        <v>411</v>
      </c>
      <c r="C19" s="1432"/>
      <c r="D19" s="1451"/>
      <c r="E19" s="1458"/>
      <c r="F19" s="1317"/>
    </row>
    <row r="20" spans="1:6" ht="22.5" customHeight="1">
      <c r="A20" s="1430" t="s">
        <v>927</v>
      </c>
      <c r="B20" s="1452" t="s">
        <v>557</v>
      </c>
      <c r="C20" s="1436"/>
      <c r="D20" s="1437"/>
      <c r="E20" s="1453"/>
      <c r="F20" s="1317"/>
    </row>
    <row r="21" spans="1:6" ht="22.5" customHeight="1">
      <c r="A21" s="1430" t="s">
        <v>928</v>
      </c>
      <c r="B21" s="1452" t="s">
        <v>558</v>
      </c>
      <c r="C21" s="1436"/>
      <c r="D21" s="1437"/>
      <c r="E21" s="1453"/>
      <c r="F21" s="1317"/>
    </row>
    <row r="22" spans="1:6" ht="22.5" customHeight="1">
      <c r="A22" s="1430" t="s">
        <v>929</v>
      </c>
      <c r="B22" s="1452" t="s">
        <v>676</v>
      </c>
      <c r="C22" s="1436"/>
      <c r="D22" s="1437"/>
      <c r="E22" s="1453"/>
      <c r="F22" s="1317"/>
    </row>
    <row r="23" spans="1:6" ht="22.5" customHeight="1">
      <c r="A23" s="1430"/>
      <c r="B23" s="1452" t="s">
        <v>608</v>
      </c>
      <c r="C23" s="1436"/>
      <c r="D23" s="1437"/>
      <c r="E23" s="1453"/>
      <c r="F23" s="1317"/>
    </row>
    <row r="24" spans="1:6" ht="22.5" customHeight="1">
      <c r="A24" s="1430"/>
      <c r="B24" s="1452" t="s">
        <v>677</v>
      </c>
      <c r="C24" s="1436"/>
      <c r="D24" s="1437"/>
      <c r="E24" s="1453"/>
      <c r="F24" s="1317"/>
    </row>
    <row r="25" spans="1:6" ht="22.5" customHeight="1">
      <c r="A25" s="1430"/>
      <c r="B25" s="1452" t="s">
        <v>678</v>
      </c>
      <c r="C25" s="1436"/>
      <c r="D25" s="1437"/>
      <c r="E25" s="1453"/>
      <c r="F25" s="1317"/>
    </row>
    <row r="26" spans="1:6" ht="22.5" customHeight="1">
      <c r="A26" s="1430"/>
      <c r="B26" s="1452" t="s">
        <v>679</v>
      </c>
      <c r="C26" s="1436"/>
      <c r="D26" s="1437"/>
      <c r="E26" s="1453"/>
      <c r="F26" s="1317"/>
    </row>
    <row r="27" spans="1:6" ht="22.5" customHeight="1">
      <c r="A27" s="1430"/>
      <c r="B27" s="1452" t="s">
        <v>680</v>
      </c>
      <c r="C27" s="1436"/>
      <c r="D27" s="1437"/>
      <c r="E27" s="1453"/>
      <c r="F27" s="1317"/>
    </row>
    <row r="28" spans="1:6" ht="22.5" customHeight="1">
      <c r="A28" s="1430"/>
      <c r="B28" s="1452" t="s">
        <v>803</v>
      </c>
      <c r="C28" s="1436"/>
      <c r="D28" s="1437"/>
      <c r="E28" s="1453"/>
      <c r="F28" s="1317"/>
    </row>
    <row r="29" spans="1:6" ht="22.5" customHeight="1">
      <c r="A29" s="1430"/>
      <c r="B29" s="1452" t="s">
        <v>805</v>
      </c>
      <c r="C29" s="1436"/>
      <c r="D29" s="1437"/>
      <c r="E29" s="1453"/>
      <c r="F29" s="1317"/>
    </row>
    <row r="30" spans="1:6" ht="22.5" customHeight="1">
      <c r="A30" s="1430"/>
      <c r="B30" s="1452" t="s">
        <v>807</v>
      </c>
      <c r="C30" s="1436"/>
      <c r="D30" s="1437"/>
      <c r="E30" s="1453"/>
      <c r="F30" s="1317"/>
    </row>
    <row r="31" spans="1:6" ht="22.5" customHeight="1">
      <c r="A31" s="1430"/>
      <c r="B31" s="1452" t="s">
        <v>809</v>
      </c>
      <c r="C31" s="1436"/>
      <c r="D31" s="1437"/>
      <c r="E31" s="1453"/>
      <c r="F31" s="1317"/>
    </row>
    <row r="32" spans="1:6" ht="22.5" customHeight="1">
      <c r="A32" s="1430"/>
      <c r="B32" s="1452" t="s">
        <v>811</v>
      </c>
      <c r="C32" s="1436"/>
      <c r="D32" s="1437"/>
      <c r="E32" s="1453"/>
      <c r="F32" s="1317"/>
    </row>
    <row r="33" spans="1:6" ht="22.5" customHeight="1">
      <c r="A33" s="1430"/>
      <c r="B33" s="1452" t="s">
        <v>813</v>
      </c>
      <c r="C33" s="1436"/>
      <c r="D33" s="1437"/>
      <c r="E33" s="1453"/>
      <c r="F33" s="1317"/>
    </row>
    <row r="34" spans="1:6" ht="22.5" customHeight="1">
      <c r="A34" s="1430"/>
      <c r="B34" s="1452" t="s">
        <v>815</v>
      </c>
      <c r="C34" s="1436"/>
      <c r="D34" s="1437"/>
      <c r="E34" s="1453"/>
      <c r="F34" s="1317"/>
    </row>
    <row r="35" spans="1:6" ht="22.5" customHeight="1">
      <c r="A35" s="1430"/>
      <c r="B35" s="1452" t="s">
        <v>817</v>
      </c>
      <c r="C35" s="1436"/>
      <c r="D35" s="1437"/>
      <c r="E35" s="1453"/>
      <c r="F35" s="1317"/>
    </row>
    <row r="36" spans="1:6" ht="22.5" customHeight="1">
      <c r="A36" s="1430"/>
      <c r="B36" s="1452" t="s">
        <v>819</v>
      </c>
      <c r="C36" s="1436"/>
      <c r="D36" s="1437"/>
      <c r="E36" s="1453"/>
      <c r="F36" s="1317"/>
    </row>
    <row r="37" spans="1:6" ht="22.5" customHeight="1" thickBot="1">
      <c r="A37" s="1440"/>
      <c r="B37" s="1441" t="s">
        <v>821</v>
      </c>
      <c r="C37" s="1442"/>
      <c r="D37" s="1443"/>
      <c r="E37" s="1454"/>
      <c r="F37" s="1317"/>
    </row>
    <row r="38" spans="1:6" ht="22.5" customHeight="1" thickBot="1">
      <c r="A38" s="2055" t="s">
        <v>930</v>
      </c>
      <c r="B38" s="2055"/>
      <c r="C38" s="1459"/>
      <c r="D38" s="1460">
        <f>SUM(D5:D8)</f>
        <v>44344878</v>
      </c>
      <c r="E38" s="1461">
        <f>E9+E14+E18+E19+E20+E21+E22</f>
        <v>0</v>
      </c>
      <c r="F38" s="1462"/>
    </row>
  </sheetData>
  <sheetProtection/>
  <mergeCells count="3">
    <mergeCell ref="A1:E1"/>
    <mergeCell ref="D2:E2"/>
    <mergeCell ref="A38:B38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view="pageBreakPreview" zoomScale="60" workbookViewId="0" topLeftCell="A1">
      <selection activeCell="D33" sqref="D33"/>
    </sheetView>
  </sheetViews>
  <sheetFormatPr defaultColWidth="9.140625" defaultRowHeight="12.75"/>
  <cols>
    <col min="1" max="1" width="9.00390625" style="1464" customWidth="1"/>
    <col min="2" max="2" width="58.57421875" style="1465" customWidth="1"/>
    <col min="3" max="3" width="17.00390625" style="1465" customWidth="1"/>
    <col min="4" max="7" width="14.7109375" style="1464" customWidth="1"/>
    <col min="8" max="9" width="9.140625" style="1464" customWidth="1"/>
    <col min="10" max="16384" width="9.140625" style="1464" customWidth="1"/>
  </cols>
  <sheetData>
    <row r="1" spans="5:6" ht="15">
      <c r="E1" s="2057" t="s">
        <v>629</v>
      </c>
      <c r="F1" s="2057"/>
    </row>
    <row r="2" spans="1:7" ht="48.75" customHeight="1">
      <c r="A2" s="2058" t="s">
        <v>933</v>
      </c>
      <c r="B2" s="2058"/>
      <c r="C2" s="2058"/>
      <c r="D2" s="2058"/>
      <c r="E2" s="2058"/>
      <c r="F2" s="2058"/>
      <c r="G2" s="1466"/>
    </row>
    <row r="3" spans="1:8" ht="15.75" customHeight="1" thickBot="1">
      <c r="A3" s="1467"/>
      <c r="B3" s="1468"/>
      <c r="C3" s="1468"/>
      <c r="D3" s="1467"/>
      <c r="E3" s="2059" t="s">
        <v>443</v>
      </c>
      <c r="F3" s="2059"/>
      <c r="H3" s="1469"/>
    </row>
    <row r="4" spans="1:7" ht="63" customHeight="1">
      <c r="A4" s="2060" t="s">
        <v>240</v>
      </c>
      <c r="B4" s="2062" t="s">
        <v>934</v>
      </c>
      <c r="C4" s="2064" t="s">
        <v>935</v>
      </c>
      <c r="D4" s="2065"/>
      <c r="E4" s="2065"/>
      <c r="F4" s="2066"/>
      <c r="G4" s="1470"/>
    </row>
    <row r="5" spans="1:6" ht="16.5" thickBot="1">
      <c r="A5" s="2061"/>
      <c r="B5" s="2063"/>
      <c r="C5" s="1471">
        <v>2019</v>
      </c>
      <c r="D5" s="1471">
        <v>2020</v>
      </c>
      <c r="E5" s="1471">
        <v>2021</v>
      </c>
      <c r="F5" s="1471">
        <v>2022</v>
      </c>
    </row>
    <row r="6" spans="1:6" ht="16.5" thickBot="1">
      <c r="A6" s="1472">
        <v>1</v>
      </c>
      <c r="B6" s="1473">
        <v>2</v>
      </c>
      <c r="C6" s="1473">
        <v>3</v>
      </c>
      <c r="D6" s="1474">
        <v>4</v>
      </c>
      <c r="E6" s="1474">
        <v>5</v>
      </c>
      <c r="F6" s="1475">
        <v>6</v>
      </c>
    </row>
    <row r="7" spans="1:9" ht="16.5" thickBot="1">
      <c r="A7" s="1476" t="s">
        <v>26</v>
      </c>
      <c r="B7" s="1477" t="s">
        <v>936</v>
      </c>
      <c r="C7" s="1478">
        <f>2267801+'[6]7.sz.m.Dologi kiadás (3)'!I18</f>
        <v>2280633</v>
      </c>
      <c r="D7" s="1478"/>
      <c r="E7" s="1478"/>
      <c r="F7" s="1479"/>
      <c r="I7" s="1480"/>
    </row>
    <row r="8" spans="1:6" ht="27" customHeight="1" hidden="1">
      <c r="A8" s="1481" t="s">
        <v>27</v>
      </c>
      <c r="B8" s="1482"/>
      <c r="C8" s="1482"/>
      <c r="D8" s="1483"/>
      <c r="E8" s="1484"/>
      <c r="F8" s="1485"/>
    </row>
    <row r="9" spans="1:6" ht="27" customHeight="1" hidden="1">
      <c r="A9" s="1481" t="s">
        <v>9</v>
      </c>
      <c r="B9" s="1486"/>
      <c r="C9" s="1486"/>
      <c r="D9" s="1483"/>
      <c r="E9" s="1484"/>
      <c r="F9" s="1485"/>
    </row>
    <row r="10" spans="1:6" ht="27" customHeight="1" hidden="1">
      <c r="A10" s="1481" t="s">
        <v>10</v>
      </c>
      <c r="B10" s="1487"/>
      <c r="C10" s="1487"/>
      <c r="D10" s="1483"/>
      <c r="E10" s="1484"/>
      <c r="F10" s="1485"/>
    </row>
    <row r="11" spans="1:6" ht="27" customHeight="1" hidden="1">
      <c r="A11" s="1481" t="s">
        <v>11</v>
      </c>
      <c r="B11" s="1486"/>
      <c r="C11" s="1486"/>
      <c r="D11" s="1483"/>
      <c r="E11" s="1484"/>
      <c r="F11" s="1485"/>
    </row>
    <row r="12" spans="1:6" ht="27" customHeight="1" hidden="1">
      <c r="A12" s="1481" t="s">
        <v>12</v>
      </c>
      <c r="B12" s="1487"/>
      <c r="C12" s="1487"/>
      <c r="D12" s="1483"/>
      <c r="E12" s="1484"/>
      <c r="F12" s="1485"/>
    </row>
    <row r="13" spans="1:6" ht="27" customHeight="1" hidden="1">
      <c r="A13" s="1481" t="s">
        <v>13</v>
      </c>
      <c r="B13" s="1487"/>
      <c r="C13" s="1487"/>
      <c r="D13" s="1483"/>
      <c r="E13" s="1484"/>
      <c r="F13" s="1485"/>
    </row>
    <row r="14" spans="1:6" ht="27" customHeight="1" hidden="1">
      <c r="A14" s="1481" t="s">
        <v>56</v>
      </c>
      <c r="B14" s="1487"/>
      <c r="C14" s="1487"/>
      <c r="D14" s="1483"/>
      <c r="E14" s="1484"/>
      <c r="F14" s="1485"/>
    </row>
    <row r="15" spans="1:6" ht="27" customHeight="1" hidden="1">
      <c r="A15" s="1481" t="s">
        <v>57</v>
      </c>
      <c r="B15" s="1487"/>
      <c r="C15" s="1487"/>
      <c r="D15" s="1483"/>
      <c r="E15" s="1484"/>
      <c r="F15" s="1485"/>
    </row>
    <row r="16" spans="1:6" ht="27" customHeight="1" hidden="1">
      <c r="A16" s="1481" t="s">
        <v>384</v>
      </c>
      <c r="B16" s="1487"/>
      <c r="C16" s="1487"/>
      <c r="D16" s="1483"/>
      <c r="E16" s="1484"/>
      <c r="F16" s="1485"/>
    </row>
    <row r="17" spans="1:6" ht="27" customHeight="1" hidden="1">
      <c r="A17" s="1488"/>
      <c r="B17" s="1489"/>
      <c r="C17" s="1489"/>
      <c r="D17" s="1490"/>
      <c r="E17" s="1490"/>
      <c r="F17" s="1491"/>
    </row>
    <row r="18" spans="1:6" ht="27" customHeight="1" hidden="1">
      <c r="A18" s="1488"/>
      <c r="B18" s="1489"/>
      <c r="C18" s="1489"/>
      <c r="D18" s="1490"/>
      <c r="E18" s="1490"/>
      <c r="F18" s="1491"/>
    </row>
    <row r="19" spans="1:6" ht="27" customHeight="1" hidden="1">
      <c r="A19" s="1488"/>
      <c r="B19" s="1489"/>
      <c r="C19" s="1489"/>
      <c r="D19" s="1490"/>
      <c r="E19" s="1490"/>
      <c r="F19" s="1491"/>
    </row>
    <row r="20" spans="1:6" ht="27" customHeight="1" hidden="1">
      <c r="A20" s="1488"/>
      <c r="B20" s="1489"/>
      <c r="C20" s="1489"/>
      <c r="D20" s="1490"/>
      <c r="E20" s="1490"/>
      <c r="F20" s="1491"/>
    </row>
    <row r="21" spans="1:6" ht="27" customHeight="1" hidden="1">
      <c r="A21" s="1488"/>
      <c r="B21" s="1489"/>
      <c r="C21" s="1489"/>
      <c r="D21" s="1490"/>
      <c r="E21" s="1490"/>
      <c r="F21" s="1491"/>
    </row>
    <row r="22" spans="1:6" ht="27" customHeight="1" hidden="1">
      <c r="A22" s="1488"/>
      <c r="B22" s="1489"/>
      <c r="C22" s="1489"/>
      <c r="D22" s="1490"/>
      <c r="E22" s="1490"/>
      <c r="F22" s="1491"/>
    </row>
    <row r="23" spans="1:6" ht="27" customHeight="1" hidden="1">
      <c r="A23" s="1488"/>
      <c r="B23" s="1489"/>
      <c r="C23" s="1489"/>
      <c r="D23" s="1490"/>
      <c r="E23" s="1490"/>
      <c r="F23" s="1491"/>
    </row>
    <row r="24" spans="1:6" ht="32.25" customHeight="1" hidden="1" thickBot="1">
      <c r="A24" s="1488" t="s">
        <v>11</v>
      </c>
      <c r="B24" s="1489"/>
      <c r="C24" s="1489"/>
      <c r="D24" s="1490"/>
      <c r="E24" s="1490"/>
      <c r="F24" s="1491"/>
    </row>
    <row r="25" spans="1:7" ht="27" customHeight="1" thickBot="1">
      <c r="A25" s="1472">
        <v>2</v>
      </c>
      <c r="B25" s="1492" t="s">
        <v>937</v>
      </c>
      <c r="C25" s="1493">
        <f>SUM(C7:C24)</f>
        <v>2280633</v>
      </c>
      <c r="D25" s="1493">
        <f>SUM(D7:D24)</f>
        <v>0</v>
      </c>
      <c r="E25" s="1493">
        <f>SUM(E7:E24)</f>
        <v>0</v>
      </c>
      <c r="F25" s="1494">
        <f>SUM(F7:F24)</f>
        <v>0</v>
      </c>
      <c r="G25" s="1495"/>
    </row>
    <row r="27" spans="1:6" ht="15">
      <c r="A27" s="2056"/>
      <c r="B27" s="2056"/>
      <c r="C27" s="2056"/>
      <c r="D27" s="2056"/>
      <c r="E27" s="2056"/>
      <c r="F27" s="2056"/>
    </row>
    <row r="28" spans="2:3" ht="15.75">
      <c r="B28" s="1496"/>
      <c r="C28" s="1496"/>
    </row>
  </sheetData>
  <sheetProtection/>
  <mergeCells count="7">
    <mergeCell ref="A27:F27"/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P13"/>
  <sheetViews>
    <sheetView view="pageBreakPreview" zoomScale="60" workbookViewId="0" topLeftCell="A1">
      <selection activeCell="C6" sqref="C6"/>
    </sheetView>
  </sheetViews>
  <sheetFormatPr defaultColWidth="9.140625" defaultRowHeight="12.75"/>
  <cols>
    <col min="1" max="1" width="8.140625" style="631" customWidth="1"/>
    <col min="2" max="2" width="64.00390625" style="631" customWidth="1"/>
    <col min="3" max="3" width="19.8515625" style="631" customWidth="1"/>
    <col min="4" max="5" width="16.7109375" style="631" hidden="1" customWidth="1"/>
    <col min="6" max="6" width="15.00390625" style="631" customWidth="1"/>
    <col min="7" max="11" width="15.00390625" style="631" hidden="1" customWidth="1"/>
    <col min="12" max="13" width="15.00390625" style="631" customWidth="1"/>
    <col min="14" max="15" width="9.140625" style="631" customWidth="1"/>
    <col min="16" max="16" width="11.7109375" style="631" bestFit="1" customWidth="1"/>
    <col min="17" max="16384" width="9.140625" style="631" customWidth="1"/>
  </cols>
  <sheetData>
    <row r="1" spans="3:7" ht="15">
      <c r="C1" s="2072" t="s">
        <v>938</v>
      </c>
      <c r="D1" s="2072"/>
      <c r="E1" s="2072"/>
      <c r="F1" s="2072"/>
      <c r="G1" s="2072"/>
    </row>
    <row r="2" spans="1:7" ht="47.25" customHeight="1">
      <c r="A2" s="2071" t="s">
        <v>376</v>
      </c>
      <c r="B2" s="2071"/>
      <c r="C2" s="2071"/>
      <c r="D2" s="2071"/>
      <c r="E2" s="2071"/>
      <c r="F2" s="2071"/>
      <c r="G2" s="2071"/>
    </row>
    <row r="3" spans="1:6" ht="15.75" customHeight="1" thickBot="1">
      <c r="A3" s="632"/>
      <c r="B3" s="632"/>
      <c r="C3" s="2070" t="s">
        <v>443</v>
      </c>
      <c r="D3" s="2070"/>
      <c r="E3" s="2070"/>
      <c r="F3" s="633"/>
    </row>
    <row r="4" spans="1:13" ht="44.25" customHeight="1" thickBot="1">
      <c r="A4" s="634" t="s">
        <v>240</v>
      </c>
      <c r="B4" s="635" t="s">
        <v>377</v>
      </c>
      <c r="C4" s="636" t="s">
        <v>596</v>
      </c>
      <c r="D4" s="636" t="s">
        <v>220</v>
      </c>
      <c r="E4" s="636" t="s">
        <v>223</v>
      </c>
      <c r="F4" s="636" t="s">
        <v>225</v>
      </c>
      <c r="G4" s="636" t="s">
        <v>237</v>
      </c>
      <c r="H4" s="636" t="s">
        <v>242</v>
      </c>
      <c r="I4" s="636" t="s">
        <v>226</v>
      </c>
      <c r="J4" s="636" t="s">
        <v>435</v>
      </c>
      <c r="K4" s="636" t="s">
        <v>439</v>
      </c>
      <c r="L4" s="636" t="s">
        <v>383</v>
      </c>
      <c r="M4" s="636" t="s">
        <v>434</v>
      </c>
    </row>
    <row r="5" spans="1:13" ht="26.25" customHeight="1" thickBot="1">
      <c r="A5" s="637">
        <v>1</v>
      </c>
      <c r="B5" s="638">
        <v>2</v>
      </c>
      <c r="C5" s="639">
        <v>3</v>
      </c>
      <c r="D5" s="639">
        <v>4</v>
      </c>
      <c r="E5" s="639">
        <v>5</v>
      </c>
      <c r="F5" s="639">
        <v>6</v>
      </c>
      <c r="G5" s="639">
        <v>7</v>
      </c>
      <c r="H5" s="639">
        <v>8</v>
      </c>
      <c r="I5" s="639">
        <v>5</v>
      </c>
      <c r="J5" s="639">
        <v>6</v>
      </c>
      <c r="K5" s="639">
        <v>7</v>
      </c>
      <c r="L5" s="639">
        <v>7</v>
      </c>
      <c r="M5" s="639">
        <v>7</v>
      </c>
    </row>
    <row r="6" spans="1:13" ht="31.5" customHeight="1">
      <c r="A6" s="640" t="s">
        <v>26</v>
      </c>
      <c r="B6" s="641" t="s">
        <v>273</v>
      </c>
      <c r="C6" s="642">
        <f>'1.sz.m-önk.össze.bev'!E8</f>
        <v>19350000</v>
      </c>
      <c r="D6" s="642">
        <f>'1.sz.m-önk.össze.bev'!F8</f>
        <v>19350000</v>
      </c>
      <c r="E6" s="642">
        <f>'1.sz.m-önk.össze.bev'!G8</f>
        <v>19350000</v>
      </c>
      <c r="F6" s="642">
        <f>'1.sz.m-önk.össze.bev'!H8</f>
        <v>20155482</v>
      </c>
      <c r="G6" s="642">
        <f>'1.sz.m-önk.össze.bev'!I8</f>
        <v>19867796</v>
      </c>
      <c r="H6" s="642">
        <f>'1.sz.m-önk.össze.bev'!J8</f>
        <v>0.9857266623541923</v>
      </c>
      <c r="I6" s="642">
        <f>'1.sz.m-önk.össze.bev'!K8</f>
        <v>19350000</v>
      </c>
      <c r="J6" s="642">
        <f>'1.sz.m-önk.össze.bev'!L8</f>
        <v>19350000</v>
      </c>
      <c r="K6" s="642">
        <f>'1.sz.m-önk.össze.bev'!M8</f>
        <v>19350000</v>
      </c>
      <c r="L6" s="642">
        <v>19867796</v>
      </c>
      <c r="M6" s="1656">
        <f>SUM(L6/F6)</f>
        <v>0.9857266623541923</v>
      </c>
    </row>
    <row r="7" spans="1:13" ht="26.25" customHeight="1">
      <c r="A7" s="643" t="s">
        <v>27</v>
      </c>
      <c r="B7" s="641" t="s">
        <v>378</v>
      </c>
      <c r="C7" s="644">
        <f>'1.sz.m-önk.össze.bev'!E13</f>
        <v>185000000</v>
      </c>
      <c r="D7" s="644">
        <f>'1.sz.m-önk.össze.bev'!F13</f>
        <v>185000000</v>
      </c>
      <c r="E7" s="644">
        <f>'1.sz.m-önk.össze.bev'!G13</f>
        <v>185000000</v>
      </c>
      <c r="F7" s="644">
        <f>'1.sz.m-önk.össze.bev'!H13</f>
        <v>186935256</v>
      </c>
      <c r="G7" s="644">
        <f>'1.sz.m-önk.össze.bev'!I13</f>
        <v>183333814</v>
      </c>
      <c r="H7" s="644">
        <f>'1.sz.m-önk.össze.bev'!J13</f>
        <v>0.9807342816060337</v>
      </c>
      <c r="I7" s="644">
        <f>'1.sz.m-önk.össze.bev'!K13</f>
        <v>170323131</v>
      </c>
      <c r="J7" s="644">
        <f>'1.sz.m-önk.össze.bev'!L13</f>
        <v>162363352</v>
      </c>
      <c r="K7" s="644">
        <f>'1.sz.m-önk.össze.bev'!M13</f>
        <v>162363352</v>
      </c>
      <c r="L7" s="644">
        <v>183333814</v>
      </c>
      <c r="M7" s="1657">
        <f>SUM(L7/F7)</f>
        <v>0.9807342816060337</v>
      </c>
    </row>
    <row r="8" spans="1:13" ht="33.75" customHeight="1">
      <c r="A8" s="645" t="s">
        <v>9</v>
      </c>
      <c r="B8" s="646" t="s">
        <v>379</v>
      </c>
      <c r="C8" s="647">
        <f>'1.sz.m-önk.össze.bev'!E17</f>
        <v>0</v>
      </c>
      <c r="D8" s="647">
        <f>'1.sz.m-önk.össze.bev'!F17</f>
        <v>0</v>
      </c>
      <c r="E8" s="647">
        <f>'1.sz.m-önk.össze.bev'!G17</f>
        <v>0</v>
      </c>
      <c r="F8" s="647">
        <f>'1.sz.m-önk.össze.bev'!H17</f>
        <v>0</v>
      </c>
      <c r="G8" s="647">
        <f>'1.sz.m-önk.össze.bev'!I17</f>
        <v>0</v>
      </c>
      <c r="H8" s="647">
        <f>'1.sz.m-önk.össze.bev'!J17</f>
        <v>0</v>
      </c>
      <c r="I8" s="647">
        <f>'1.sz.m-önk.össze.bev'!K17</f>
        <v>0</v>
      </c>
      <c r="J8" s="647">
        <f>'1.sz.m-önk.össze.bev'!L17</f>
        <v>0</v>
      </c>
      <c r="K8" s="647">
        <f>'1.sz.m-önk.össze.bev'!M17</f>
        <v>0</v>
      </c>
      <c r="L8" s="647">
        <f>'1.sz.m-önk.össze.bev'!N17</f>
        <v>0</v>
      </c>
      <c r="M8" s="1657"/>
    </row>
    <row r="9" spans="1:16" ht="33" customHeight="1">
      <c r="A9" s="643" t="s">
        <v>10</v>
      </c>
      <c r="B9" s="648" t="s">
        <v>288</v>
      </c>
      <c r="C9" s="647">
        <f>'1.sz.m-önk.össze.bev'!E20</f>
        <v>1410000</v>
      </c>
      <c r="D9" s="647">
        <f>'1.sz.m-önk.össze.bev'!F20</f>
        <v>1410000</v>
      </c>
      <c r="E9" s="647">
        <f>'1.sz.m-önk.össze.bev'!G20</f>
        <v>1410000</v>
      </c>
      <c r="F9" s="647">
        <f>'1.sz.m-önk.össze.bev'!H20</f>
        <v>3266667</v>
      </c>
      <c r="G9" s="647">
        <f>'1.sz.m-önk.össze.bev'!I20</f>
        <v>1845745</v>
      </c>
      <c r="H9" s="647">
        <f>'1.sz.m-önk.össze.bev'!J20</f>
        <v>0</v>
      </c>
      <c r="I9" s="647">
        <f>'1.sz.m-önk.össze.bev'!K20</f>
        <v>1410000</v>
      </c>
      <c r="J9" s="647">
        <f>'1.sz.m-önk.össze.bev'!L20</f>
        <v>1410000</v>
      </c>
      <c r="K9" s="647">
        <f>'1.sz.m-önk.össze.bev'!M20</f>
        <v>1410000</v>
      </c>
      <c r="L9" s="647">
        <v>1845745</v>
      </c>
      <c r="M9" s="1657">
        <f>SUM(L9/F9)</f>
        <v>0.5650239219363345</v>
      </c>
      <c r="P9" s="1801"/>
    </row>
    <row r="10" spans="1:13" ht="26.25" customHeight="1">
      <c r="A10" s="645" t="s">
        <v>11</v>
      </c>
      <c r="B10" s="648" t="s">
        <v>380</v>
      </c>
      <c r="C10" s="649">
        <f>'1.sz.m-önk.össze.bev'!E25</f>
        <v>1325401</v>
      </c>
      <c r="D10" s="649">
        <f>'1.sz.m-önk.össze.bev'!F25</f>
        <v>1325401</v>
      </c>
      <c r="E10" s="649">
        <f>'1.sz.m-önk.össze.bev'!G25</f>
        <v>1325401</v>
      </c>
      <c r="F10" s="649">
        <f>'1.sz.m-önk.össze.bev'!H25</f>
        <v>643286</v>
      </c>
      <c r="G10" s="649">
        <f>'1.sz.m-önk.össze.bev'!I25</f>
        <v>643286</v>
      </c>
      <c r="H10" s="649">
        <f>'1.sz.m-önk.össze.bev'!J25</f>
        <v>1</v>
      </c>
      <c r="I10" s="649">
        <f>'1.sz.m-önk.össze.bev'!K25</f>
        <v>1325401</v>
      </c>
      <c r="J10" s="649">
        <f>'1.sz.m-önk.össze.bev'!L25</f>
        <v>1325401</v>
      </c>
      <c r="K10" s="649">
        <f>'1.sz.m-önk.össze.bev'!M25</f>
        <v>1325401</v>
      </c>
      <c r="L10" s="649">
        <f>'1.sz.m-önk.össze.bev'!N25</f>
        <v>643286</v>
      </c>
      <c r="M10" s="1657">
        <f>SUM(L10/F10)</f>
        <v>1</v>
      </c>
    </row>
    <row r="11" spans="1:16" ht="26.25" customHeight="1" thickBot="1">
      <c r="A11" s="645" t="s">
        <v>12</v>
      </c>
      <c r="B11" s="648" t="s">
        <v>494</v>
      </c>
      <c r="C11" s="647">
        <f>'1.sz.m-önk.össze.bev'!E55</f>
        <v>600000</v>
      </c>
      <c r="D11" s="647">
        <f>'1.sz.m-önk.össze.bev'!F55</f>
        <v>600000</v>
      </c>
      <c r="E11" s="647">
        <f>'1.sz.m-önk.össze.bev'!G55</f>
        <v>600000</v>
      </c>
      <c r="F11" s="647">
        <f>'1.sz.m-önk.össze.bev'!H55</f>
        <v>1264300</v>
      </c>
      <c r="G11" s="647">
        <f>'1.sz.m-önk.össze.bev'!I55</f>
        <v>1264300</v>
      </c>
      <c r="H11" s="647">
        <f>'1.sz.m-önk.össze.bev'!J55</f>
        <v>1</v>
      </c>
      <c r="I11" s="647">
        <f>'1.sz.m-önk.össze.bev'!K55</f>
        <v>600000</v>
      </c>
      <c r="J11" s="647">
        <f>'1.sz.m-önk.össze.bev'!L55</f>
        <v>600000</v>
      </c>
      <c r="K11" s="647">
        <f>'1.sz.m-önk.össze.bev'!M55</f>
        <v>600000</v>
      </c>
      <c r="L11" s="647">
        <f>'1.sz.m-önk.össze.bev'!N55</f>
        <v>1264300</v>
      </c>
      <c r="M11" s="1659">
        <f>SUM(L11/F11)</f>
        <v>1</v>
      </c>
      <c r="P11" s="1801"/>
    </row>
    <row r="12" spans="1:14" ht="26.25" customHeight="1" thickBot="1">
      <c r="A12" s="2067" t="s">
        <v>381</v>
      </c>
      <c r="B12" s="2068"/>
      <c r="C12" s="650">
        <f aca="true" t="shared" si="0" ref="C12:L12">SUM(C6:C11)</f>
        <v>207685401</v>
      </c>
      <c r="D12" s="650">
        <f>SUM(D6:D11)</f>
        <v>207685401</v>
      </c>
      <c r="E12" s="650">
        <f>SUM(E6:E11)</f>
        <v>207685401</v>
      </c>
      <c r="F12" s="650">
        <f>SUM(F6:F11)</f>
        <v>212264991</v>
      </c>
      <c r="G12" s="650">
        <f t="shared" si="0"/>
        <v>206954941</v>
      </c>
      <c r="H12" s="650">
        <f t="shared" si="0"/>
        <v>3.966460943960226</v>
      </c>
      <c r="I12" s="650">
        <f t="shared" si="0"/>
        <v>193008532</v>
      </c>
      <c r="J12" s="650">
        <f t="shared" si="0"/>
        <v>185048753</v>
      </c>
      <c r="K12" s="650">
        <f t="shared" si="0"/>
        <v>185048753</v>
      </c>
      <c r="L12" s="650">
        <f t="shared" si="0"/>
        <v>206954941</v>
      </c>
      <c r="M12" s="1660">
        <f>SUM(L12/F12)</f>
        <v>0.9749838634483065</v>
      </c>
      <c r="N12" s="1658"/>
    </row>
    <row r="13" spans="1:5" ht="23.25" customHeight="1">
      <c r="A13" s="2069"/>
      <c r="B13" s="2069"/>
      <c r="C13" s="2069"/>
      <c r="D13" s="651"/>
      <c r="E13" s="651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view="pageBreakPreview" zoomScale="60" zoomScalePageLayoutView="0" workbookViewId="0" topLeftCell="A1">
      <selection activeCell="C28" sqref="C28"/>
    </sheetView>
  </sheetViews>
  <sheetFormatPr defaultColWidth="9.140625" defaultRowHeight="12.75"/>
  <cols>
    <col min="1" max="1" width="9.140625" style="1500" customWidth="1"/>
    <col min="2" max="2" width="19.140625" style="1500" customWidth="1"/>
    <col min="3" max="3" width="14.421875" style="1500" customWidth="1"/>
    <col min="4" max="4" width="13.7109375" style="1500" customWidth="1"/>
    <col min="5" max="5" width="16.28125" style="1500" customWidth="1"/>
    <col min="6" max="6" width="19.140625" style="1500" bestFit="1" customWidth="1"/>
    <col min="7" max="16384" width="9.140625" style="1500" customWidth="1"/>
  </cols>
  <sheetData>
    <row r="1" spans="1:6" ht="15">
      <c r="A1" s="1497"/>
      <c r="B1" s="1497"/>
      <c r="C1" s="1498"/>
      <c r="D1" s="1497"/>
      <c r="E1" s="1497"/>
      <c r="F1" s="1499" t="s">
        <v>939</v>
      </c>
    </row>
    <row r="2" spans="1:6" ht="15">
      <c r="A2" s="1497"/>
      <c r="B2" s="1497"/>
      <c r="C2" s="1498"/>
      <c r="D2" s="1497"/>
      <c r="E2" s="1497"/>
      <c r="F2" s="1497"/>
    </row>
    <row r="3" spans="1:6" ht="15.75">
      <c r="A3" s="2073" t="s">
        <v>940</v>
      </c>
      <c r="B3" s="2073"/>
      <c r="C3" s="2073"/>
      <c r="D3" s="2073"/>
      <c r="E3" s="2073"/>
      <c r="F3" s="2073"/>
    </row>
    <row r="4" spans="1:6" ht="15.75">
      <c r="A4" s="2073" t="s">
        <v>941</v>
      </c>
      <c r="B4" s="2073"/>
      <c r="C4" s="2073"/>
      <c r="D4" s="2073"/>
      <c r="E4" s="2073"/>
      <c r="F4" s="2073"/>
    </row>
    <row r="5" spans="1:6" ht="16.5" thickBot="1">
      <c r="A5" s="1501"/>
      <c r="B5" s="1502"/>
      <c r="C5" s="1502"/>
      <c r="D5" s="1502"/>
      <c r="E5" s="2074" t="s">
        <v>942</v>
      </c>
      <c r="F5" s="2074"/>
    </row>
    <row r="6" spans="1:6" ht="14.25" customHeight="1">
      <c r="A6" s="2075" t="s">
        <v>542</v>
      </c>
      <c r="B6" s="2077" t="s">
        <v>943</v>
      </c>
      <c r="C6" s="2079" t="s">
        <v>944</v>
      </c>
      <c r="D6" s="1503" t="s">
        <v>945</v>
      </c>
      <c r="E6" s="1504" t="s">
        <v>946</v>
      </c>
      <c r="F6" s="2081" t="s">
        <v>947</v>
      </c>
    </row>
    <row r="7" spans="1:6" ht="15" customHeight="1" thickBot="1">
      <c r="A7" s="2076"/>
      <c r="B7" s="2078"/>
      <c r="C7" s="2080"/>
      <c r="D7" s="1505" t="s">
        <v>948</v>
      </c>
      <c r="E7" s="1506" t="s">
        <v>949</v>
      </c>
      <c r="F7" s="2082"/>
    </row>
    <row r="8" spans="1:6" ht="15.75" thickBot="1">
      <c r="A8" s="1507"/>
      <c r="B8" s="1508" t="s">
        <v>950</v>
      </c>
      <c r="C8" s="1508"/>
      <c r="D8" s="1509"/>
      <c r="E8" s="1509"/>
      <c r="F8" s="1510">
        <v>0</v>
      </c>
    </row>
    <row r="9" spans="1:6" ht="30.75" thickBot="1">
      <c r="A9" s="1511">
        <v>1</v>
      </c>
      <c r="B9" s="1512" t="s">
        <v>951</v>
      </c>
      <c r="C9" s="1513"/>
      <c r="D9" s="1514"/>
      <c r="E9" s="1514"/>
      <c r="F9" s="1515">
        <v>0</v>
      </c>
    </row>
    <row r="10" spans="1:6" ht="15.75" thickBot="1">
      <c r="A10" s="1507"/>
      <c r="B10" s="1508" t="s">
        <v>952</v>
      </c>
      <c r="C10" s="1508"/>
      <c r="D10" s="1509"/>
      <c r="E10" s="1509"/>
      <c r="F10" s="1516"/>
    </row>
    <row r="11" spans="1:6" ht="60.75" thickBot="1">
      <c r="A11" s="1517">
        <v>1</v>
      </c>
      <c r="B11" s="1518" t="s">
        <v>953</v>
      </c>
      <c r="C11" s="1518" t="s">
        <v>954</v>
      </c>
      <c r="D11" s="1519" t="s">
        <v>955</v>
      </c>
      <c r="E11" s="1519" t="s">
        <v>956</v>
      </c>
      <c r="F11" s="1520">
        <v>0</v>
      </c>
    </row>
    <row r="12" spans="1:6" ht="15.75" hidden="1" thickBot="1">
      <c r="A12" s="1521">
        <v>2</v>
      </c>
      <c r="B12" s="1518"/>
      <c r="C12" s="1518"/>
      <c r="D12" s="1519"/>
      <c r="E12" s="1519"/>
      <c r="F12" s="1522"/>
    </row>
    <row r="13" spans="1:6" ht="15.75" hidden="1" thickBot="1">
      <c r="A13" s="1511">
        <v>3</v>
      </c>
      <c r="B13" s="1518"/>
      <c r="C13" s="1518"/>
      <c r="D13" s="1523"/>
      <c r="E13" s="1523"/>
      <c r="F13" s="1524"/>
    </row>
    <row r="14" spans="1:6" ht="15.75" hidden="1" thickBot="1">
      <c r="A14" s="1525">
        <v>4</v>
      </c>
      <c r="B14" s="1526"/>
      <c r="C14" s="1518"/>
      <c r="D14" s="1527"/>
      <c r="E14" s="1527"/>
      <c r="F14" s="1528"/>
    </row>
    <row r="15" spans="1:6" ht="16.5" thickBot="1">
      <c r="A15" s="1507"/>
      <c r="B15" s="1529" t="s">
        <v>561</v>
      </c>
      <c r="C15" s="1529"/>
      <c r="D15" s="1509"/>
      <c r="E15" s="1509"/>
      <c r="F15" s="1516">
        <f>SUM(F11:F14)</f>
        <v>0</v>
      </c>
    </row>
  </sheetData>
  <sheetProtection/>
  <mergeCells count="7">
    <mergeCell ref="A3:F3"/>
    <mergeCell ref="A4:F4"/>
    <mergeCell ref="E5:F5"/>
    <mergeCell ref="A6:A7"/>
    <mergeCell ref="B6:B7"/>
    <mergeCell ref="C6:C7"/>
    <mergeCell ref="F6:F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F32" sqref="F32"/>
    </sheetView>
  </sheetViews>
  <sheetFormatPr defaultColWidth="9.140625" defaultRowHeight="12.75"/>
  <cols>
    <col min="1" max="1" width="5.57421875" style="696" customWidth="1"/>
    <col min="2" max="2" width="24.7109375" style="697" customWidth="1"/>
    <col min="3" max="3" width="9.57421875" style="698" bestFit="1" customWidth="1"/>
    <col min="4" max="4" width="11.421875" style="698" customWidth="1"/>
    <col min="5" max="13" width="9.57421875" style="698" bestFit="1" customWidth="1"/>
    <col min="14" max="14" width="9.28125" style="698" customWidth="1"/>
    <col min="15" max="15" width="13.00390625" style="696" customWidth="1"/>
    <col min="16" max="16" width="15.8515625" style="698" customWidth="1"/>
    <col min="17" max="17" width="13.28125" style="698" customWidth="1"/>
    <col min="18" max="18" width="12.421875" style="698" bestFit="1" customWidth="1"/>
    <col min="19" max="19" width="12.57421875" style="698" customWidth="1"/>
    <col min="20" max="16384" width="9.140625" style="698" customWidth="1"/>
  </cols>
  <sheetData>
    <row r="1" spans="7:15" ht="15.75">
      <c r="G1" s="2088" t="s">
        <v>563</v>
      </c>
      <c r="H1" s="2088"/>
      <c r="I1" s="2088"/>
      <c r="J1" s="2088"/>
      <c r="K1" s="2088"/>
      <c r="L1" s="2088"/>
      <c r="M1" s="2088"/>
      <c r="N1" s="2088"/>
      <c r="O1" s="2088"/>
    </row>
    <row r="2" spans="1:15" ht="31.5" customHeight="1">
      <c r="A2" s="2083" t="s">
        <v>597</v>
      </c>
      <c r="B2" s="2084"/>
      <c r="C2" s="2084"/>
      <c r="D2" s="2084"/>
      <c r="E2" s="2084"/>
      <c r="F2" s="2084"/>
      <c r="G2" s="2084"/>
      <c r="H2" s="2084"/>
      <c r="I2" s="2084"/>
      <c r="J2" s="2084"/>
      <c r="K2" s="2084"/>
      <c r="L2" s="2084"/>
      <c r="M2" s="2084"/>
      <c r="N2" s="2084"/>
      <c r="O2" s="2084"/>
    </row>
    <row r="3" ht="16.5" thickBot="1">
      <c r="O3" s="699" t="s">
        <v>447</v>
      </c>
    </row>
    <row r="4" spans="1:15" s="696" customFormat="1" ht="35.25" customHeight="1" thickBot="1">
      <c r="A4" s="700" t="s">
        <v>240</v>
      </c>
      <c r="B4" s="701" t="s">
        <v>3</v>
      </c>
      <c r="C4" s="702" t="s">
        <v>385</v>
      </c>
      <c r="D4" s="702" t="s">
        <v>386</v>
      </c>
      <c r="E4" s="702" t="s">
        <v>387</v>
      </c>
      <c r="F4" s="702" t="s">
        <v>388</v>
      </c>
      <c r="G4" s="702" t="s">
        <v>389</v>
      </c>
      <c r="H4" s="702" t="s">
        <v>390</v>
      </c>
      <c r="I4" s="702" t="s">
        <v>391</v>
      </c>
      <c r="J4" s="702" t="s">
        <v>392</v>
      </c>
      <c r="K4" s="702" t="s">
        <v>393</v>
      </c>
      <c r="L4" s="702" t="s">
        <v>394</v>
      </c>
      <c r="M4" s="702" t="s">
        <v>395</v>
      </c>
      <c r="N4" s="702" t="s">
        <v>396</v>
      </c>
      <c r="O4" s="703" t="s">
        <v>20</v>
      </c>
    </row>
    <row r="5" spans="1:15" s="705" customFormat="1" ht="15" customHeight="1" thickBot="1">
      <c r="A5" s="704" t="s">
        <v>26</v>
      </c>
      <c r="B5" s="2085" t="s">
        <v>108</v>
      </c>
      <c r="C5" s="2086"/>
      <c r="D5" s="2086"/>
      <c r="E5" s="2086"/>
      <c r="F5" s="2086"/>
      <c r="G5" s="2086"/>
      <c r="H5" s="2086"/>
      <c r="I5" s="2086"/>
      <c r="J5" s="2086"/>
      <c r="K5" s="2086"/>
      <c r="L5" s="2086"/>
      <c r="M5" s="2086"/>
      <c r="N5" s="2086"/>
      <c r="O5" s="2087"/>
    </row>
    <row r="6" spans="1:15" s="705" customFormat="1" ht="15" customHeight="1">
      <c r="A6" s="706" t="s">
        <v>27</v>
      </c>
      <c r="B6" s="707" t="s">
        <v>397</v>
      </c>
      <c r="C6" s="708">
        <f>+'1.sz.m-önk.össze.bev'!F16</f>
        <v>468365</v>
      </c>
      <c r="D6" s="708"/>
      <c r="E6" s="708">
        <v>102880000</v>
      </c>
      <c r="F6" s="708"/>
      <c r="G6" s="708"/>
      <c r="H6" s="708"/>
      <c r="I6" s="708"/>
      <c r="J6" s="708"/>
      <c r="K6" s="708">
        <f>102880000+4597405</f>
        <v>107477405</v>
      </c>
      <c r="L6" s="708"/>
      <c r="M6" s="708"/>
      <c r="N6" s="708"/>
      <c r="O6" s="709">
        <f aca="true" t="shared" si="0" ref="O6:O12">SUM(C6:N6)</f>
        <v>210825770</v>
      </c>
    </row>
    <row r="7" spans="1:19" s="714" customFormat="1" ht="13.5" customHeight="1">
      <c r="A7" s="710" t="s">
        <v>9</v>
      </c>
      <c r="B7" s="711" t="s">
        <v>398</v>
      </c>
      <c r="C7" s="712">
        <f>6185082-1939274</f>
        <v>4245808</v>
      </c>
      <c r="D7" s="712">
        <f>6185082-1939274</f>
        <v>4245808</v>
      </c>
      <c r="E7" s="712">
        <f>6185082-1939274</f>
        <v>4245808</v>
      </c>
      <c r="F7" s="712">
        <f>6185082-1939274</f>
        <v>4245808</v>
      </c>
      <c r="G7" s="712">
        <f>6185082-1939274</f>
        <v>4245808</v>
      </c>
      <c r="H7" s="712">
        <f>6185082-1939274+5</f>
        <v>4245813</v>
      </c>
      <c r="I7" s="712">
        <v>6185083</v>
      </c>
      <c r="J7" s="712">
        <v>6185083</v>
      </c>
      <c r="K7" s="712">
        <f>6185082-4398004</f>
        <v>1787078</v>
      </c>
      <c r="L7" s="712">
        <f>6185083-3000000</f>
        <v>3185083</v>
      </c>
      <c r="M7" s="712">
        <f>6185083-3000000</f>
        <v>3185083</v>
      </c>
      <c r="N7" s="712">
        <f>6185082-2504862+450000</f>
        <v>4130220</v>
      </c>
      <c r="O7" s="713">
        <f t="shared" si="0"/>
        <v>50132483</v>
      </c>
      <c r="Q7" s="705"/>
      <c r="S7" s="705"/>
    </row>
    <row r="8" spans="1:19" s="714" customFormat="1" ht="27" customHeight="1">
      <c r="A8" s="710" t="s">
        <v>10</v>
      </c>
      <c r="B8" s="715" t="s">
        <v>474</v>
      </c>
      <c r="C8" s="716">
        <f>27174448+1977508</f>
        <v>29151956</v>
      </c>
      <c r="D8" s="716">
        <f>27174448+1977508</f>
        <v>29151956</v>
      </c>
      <c r="E8" s="716">
        <f>27174448+1977508</f>
        <v>29151956</v>
      </c>
      <c r="F8" s="716">
        <f>27174448+1977509</f>
        <v>29151957</v>
      </c>
      <c r="G8" s="716">
        <f>27174448+1977509</f>
        <v>29151957</v>
      </c>
      <c r="H8" s="716">
        <f>27174448+1977509</f>
        <v>29151957</v>
      </c>
      <c r="I8" s="716">
        <v>27174448</v>
      </c>
      <c r="J8" s="716">
        <v>27174448</v>
      </c>
      <c r="K8" s="716">
        <f>27174448+18971276</f>
        <v>46145724</v>
      </c>
      <c r="L8" s="716">
        <f>27174448+2000000</f>
        <v>29174448</v>
      </c>
      <c r="M8" s="716">
        <f>27174448+2000000</f>
        <v>29174448</v>
      </c>
      <c r="N8" s="716">
        <f>27174448+2230522</f>
        <v>29404970</v>
      </c>
      <c r="O8" s="713">
        <f t="shared" si="0"/>
        <v>363160225</v>
      </c>
      <c r="Q8" s="705"/>
      <c r="S8" s="705"/>
    </row>
    <row r="9" spans="1:19" s="714" customFormat="1" ht="21.75" customHeight="1">
      <c r="A9" s="710" t="s">
        <v>11</v>
      </c>
      <c r="B9" s="715" t="s">
        <v>399</v>
      </c>
      <c r="C9" s="716"/>
      <c r="D9" s="716">
        <v>1074492</v>
      </c>
      <c r="E9" s="716"/>
      <c r="F9" s="716"/>
      <c r="G9" s="716"/>
      <c r="H9" s="716"/>
      <c r="I9" s="716">
        <v>2442391</v>
      </c>
      <c r="J9" s="716">
        <v>4999990</v>
      </c>
      <c r="K9" s="716"/>
      <c r="L9" s="716"/>
      <c r="M9" s="716"/>
      <c r="N9" s="716">
        <v>37887466</v>
      </c>
      <c r="O9" s="713">
        <f t="shared" si="0"/>
        <v>46404339</v>
      </c>
      <c r="Q9" s="705"/>
      <c r="S9" s="705"/>
    </row>
    <row r="10" spans="1:17" s="714" customFormat="1" ht="23.25" customHeight="1">
      <c r="A10" s="710" t="s">
        <v>11</v>
      </c>
      <c r="B10" s="711" t="s">
        <v>400</v>
      </c>
      <c r="C10" s="712"/>
      <c r="D10" s="712">
        <v>300000</v>
      </c>
      <c r="E10" s="712">
        <v>15000</v>
      </c>
      <c r="F10" s="712"/>
      <c r="G10" s="712"/>
      <c r="H10" s="712">
        <v>15000</v>
      </c>
      <c r="I10" s="712"/>
      <c r="J10" s="712"/>
      <c r="K10" s="712">
        <v>15000</v>
      </c>
      <c r="L10" s="712"/>
      <c r="M10" s="712"/>
      <c r="N10" s="712">
        <v>15000</v>
      </c>
      <c r="O10" s="713">
        <f t="shared" si="0"/>
        <v>360000</v>
      </c>
      <c r="Q10" s="705"/>
    </row>
    <row r="11" spans="1:17" s="714" customFormat="1" ht="23.25" customHeight="1">
      <c r="A11" s="710" t="s">
        <v>12</v>
      </c>
      <c r="B11" s="711" t="s">
        <v>401</v>
      </c>
      <c r="C11" s="712"/>
      <c r="D11" s="712">
        <v>600000</v>
      </c>
      <c r="E11" s="712"/>
      <c r="F11" s="712"/>
      <c r="G11" s="712"/>
      <c r="H11" s="712"/>
      <c r="I11" s="712"/>
      <c r="J11" s="712"/>
      <c r="K11" s="712"/>
      <c r="L11" s="712"/>
      <c r="M11" s="712"/>
      <c r="N11" s="712">
        <v>664300</v>
      </c>
      <c r="O11" s="713">
        <f t="shared" si="0"/>
        <v>1264300</v>
      </c>
      <c r="Q11" s="705"/>
    </row>
    <row r="12" spans="1:17" s="714" customFormat="1" ht="23.25" customHeight="1" thickBot="1">
      <c r="A12" s="710" t="s">
        <v>13</v>
      </c>
      <c r="B12" s="711" t="s">
        <v>402</v>
      </c>
      <c r="C12" s="712">
        <f>+'1.sz.m-önk.össze.bev'!H61</f>
        <v>306456765</v>
      </c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>
        <f>+'1.sz.m-önk.össze.bev'!H59</f>
        <v>13999235</v>
      </c>
      <c r="O12" s="713">
        <f t="shared" si="0"/>
        <v>320456000</v>
      </c>
      <c r="Q12" s="705"/>
    </row>
    <row r="13" spans="1:15" s="705" customFormat="1" ht="15.75" customHeight="1" thickBot="1">
      <c r="A13" s="710" t="s">
        <v>56</v>
      </c>
      <c r="B13" s="717" t="s">
        <v>403</v>
      </c>
      <c r="C13" s="718">
        <f aca="true" t="shared" si="1" ref="C13:O13">SUM(C6:C12)</f>
        <v>340322894</v>
      </c>
      <c r="D13" s="718">
        <f t="shared" si="1"/>
        <v>35372256</v>
      </c>
      <c r="E13" s="718">
        <f t="shared" si="1"/>
        <v>136292764</v>
      </c>
      <c r="F13" s="718">
        <f t="shared" si="1"/>
        <v>33397765</v>
      </c>
      <c r="G13" s="718">
        <f t="shared" si="1"/>
        <v>33397765</v>
      </c>
      <c r="H13" s="718">
        <f t="shared" si="1"/>
        <v>33412770</v>
      </c>
      <c r="I13" s="718">
        <f t="shared" si="1"/>
        <v>35801922</v>
      </c>
      <c r="J13" s="718">
        <f t="shared" si="1"/>
        <v>38359521</v>
      </c>
      <c r="K13" s="718">
        <f t="shared" si="1"/>
        <v>155425207</v>
      </c>
      <c r="L13" s="718">
        <f t="shared" si="1"/>
        <v>32359531</v>
      </c>
      <c r="M13" s="718">
        <f t="shared" si="1"/>
        <v>32359531</v>
      </c>
      <c r="N13" s="718">
        <f t="shared" si="1"/>
        <v>86101191</v>
      </c>
      <c r="O13" s="719">
        <f t="shared" si="1"/>
        <v>992603117</v>
      </c>
    </row>
    <row r="14" spans="1:15" s="705" customFormat="1" ht="15" customHeight="1" thickBot="1">
      <c r="A14" s="710" t="s">
        <v>57</v>
      </c>
      <c r="B14" s="2085" t="s">
        <v>135</v>
      </c>
      <c r="C14" s="2086"/>
      <c r="D14" s="2086"/>
      <c r="E14" s="2086"/>
      <c r="F14" s="2086"/>
      <c r="G14" s="2086"/>
      <c r="H14" s="2086"/>
      <c r="I14" s="2086"/>
      <c r="J14" s="2086"/>
      <c r="K14" s="2086"/>
      <c r="L14" s="2086"/>
      <c r="M14" s="2086"/>
      <c r="N14" s="2086"/>
      <c r="O14" s="2087"/>
    </row>
    <row r="15" spans="1:19" s="714" customFormat="1" ht="13.5" customHeight="1">
      <c r="A15" s="710" t="s">
        <v>384</v>
      </c>
      <c r="B15" s="715" t="s">
        <v>406</v>
      </c>
      <c r="C15" s="716">
        <v>46735488</v>
      </c>
      <c r="D15" s="716">
        <v>46735488</v>
      </c>
      <c r="E15" s="716">
        <v>46735489</v>
      </c>
      <c r="F15" s="716">
        <v>46735488</v>
      </c>
      <c r="G15" s="716">
        <v>46735488</v>
      </c>
      <c r="H15" s="716">
        <v>46735489</v>
      </c>
      <c r="I15" s="716">
        <f>46735488+8403958</f>
        <v>55139446</v>
      </c>
      <c r="J15" s="716">
        <v>46735488</v>
      </c>
      <c r="K15" s="716">
        <f>46735489-2978945</f>
        <v>43756544</v>
      </c>
      <c r="L15" s="716">
        <v>46735488</v>
      </c>
      <c r="M15" s="716">
        <v>46735488</v>
      </c>
      <c r="N15" s="716">
        <f>46735489+113220661</f>
        <v>159956150</v>
      </c>
      <c r="O15" s="720">
        <f>SUM(C15:N15)</f>
        <v>679471534</v>
      </c>
      <c r="Q15" s="705"/>
      <c r="S15" s="705"/>
    </row>
    <row r="16" spans="1:17" s="714" customFormat="1" ht="27" customHeight="1">
      <c r="A16" s="710" t="s">
        <v>404</v>
      </c>
      <c r="B16" s="711" t="s">
        <v>408</v>
      </c>
      <c r="C16" s="712"/>
      <c r="D16" s="712"/>
      <c r="E16" s="712">
        <f>+'6.a.sz.m.fejlesztés (4)'!D34+'6.a.sz.m.fejlesztés (4)'!D10+'6.a.sz.m.fejlesztés (4)'!D33</f>
        <v>28582519</v>
      </c>
      <c r="F16" s="712"/>
      <c r="G16" s="712">
        <v>6000000</v>
      </c>
      <c r="H16" s="712">
        <f>+'6.a.sz.m.fejlesztés (4)'!D6+'6.a.sz.m.fejlesztés (4)'!D7+'6.a.sz.m.fejlesztés (4)'!D8</f>
        <v>5200000</v>
      </c>
      <c r="I16" s="712">
        <f>+'6.a.sz.m.fejlesztés (4)'!D32</f>
        <v>5713499</v>
      </c>
      <c r="J16" s="712">
        <f>+'6.a.sz.m.fejlesztés (4)'!D31-13260427</f>
        <v>60720973</v>
      </c>
      <c r="K16" s="712">
        <f>+'6.b.sz.m.intfejl (2)'!E32</f>
        <v>2984299.64</v>
      </c>
      <c r="L16" s="712">
        <f>+'6.a.sz.m.fejlesztés (4)'!D11</f>
        <v>45000000</v>
      </c>
      <c r="M16" s="712">
        <f>+'6.a.sz.m.fejlesztés (4)'!D30</f>
        <v>88570024</v>
      </c>
      <c r="N16" s="712">
        <f>+'6.a.sz.m.fejlesztés (4)'!D9+9984729+39462893</f>
        <v>59447622</v>
      </c>
      <c r="O16" s="713">
        <f>SUM(C16:N16)</f>
        <v>302218936.64</v>
      </c>
      <c r="Q16" s="705"/>
    </row>
    <row r="17" spans="1:19" s="714" customFormat="1" ht="13.5" customHeight="1">
      <c r="A17" s="710" t="s">
        <v>405</v>
      </c>
      <c r="B17" s="711" t="s">
        <v>410</v>
      </c>
      <c r="C17" s="712"/>
      <c r="D17" s="712"/>
      <c r="E17" s="712"/>
      <c r="F17" s="712"/>
      <c r="G17" s="712"/>
      <c r="H17" s="712"/>
      <c r="I17" s="712"/>
      <c r="J17" s="712"/>
      <c r="K17" s="712"/>
      <c r="L17" s="712"/>
      <c r="M17" s="712"/>
      <c r="N17" s="712">
        <f>+'1 .sz.m.önk.össz.kiad.'!H25</f>
        <v>0</v>
      </c>
      <c r="O17" s="713">
        <f>SUM(C17:N17)</f>
        <v>0</v>
      </c>
      <c r="S17" s="705"/>
    </row>
    <row r="18" spans="1:15" s="714" customFormat="1" ht="13.5" customHeight="1" thickBot="1">
      <c r="A18" s="710" t="s">
        <v>407</v>
      </c>
      <c r="B18" s="711" t="s">
        <v>412</v>
      </c>
      <c r="C18" s="712">
        <f>+'1 .sz.m.önk.össz.kiad.'!E33</f>
        <v>10912646</v>
      </c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3">
        <f>SUM(C18:N18)</f>
        <v>10912646</v>
      </c>
    </row>
    <row r="19" spans="1:15" s="705" customFormat="1" ht="15.75" customHeight="1" thickBot="1">
      <c r="A19" s="710" t="s">
        <v>409</v>
      </c>
      <c r="B19" s="717" t="s">
        <v>413</v>
      </c>
      <c r="C19" s="718">
        <f aca="true" t="shared" si="2" ref="C19:O19">SUM(C15:C18)</f>
        <v>57648134</v>
      </c>
      <c r="D19" s="718">
        <f t="shared" si="2"/>
        <v>46735488</v>
      </c>
      <c r="E19" s="718">
        <f t="shared" si="2"/>
        <v>75318008</v>
      </c>
      <c r="F19" s="718">
        <f t="shared" si="2"/>
        <v>46735488</v>
      </c>
      <c r="G19" s="718">
        <f t="shared" si="2"/>
        <v>52735488</v>
      </c>
      <c r="H19" s="718">
        <f t="shared" si="2"/>
        <v>51935489</v>
      </c>
      <c r="I19" s="718">
        <f t="shared" si="2"/>
        <v>60852945</v>
      </c>
      <c r="J19" s="718">
        <f t="shared" si="2"/>
        <v>107456461</v>
      </c>
      <c r="K19" s="718">
        <f t="shared" si="2"/>
        <v>46740843.64</v>
      </c>
      <c r="L19" s="718">
        <f t="shared" si="2"/>
        <v>91735488</v>
      </c>
      <c r="M19" s="718">
        <f t="shared" si="2"/>
        <v>135305512</v>
      </c>
      <c r="N19" s="718">
        <f t="shared" si="2"/>
        <v>219403772</v>
      </c>
      <c r="O19" s="719">
        <f t="shared" si="2"/>
        <v>992603116.64</v>
      </c>
    </row>
    <row r="20" spans="1:15" ht="16.5" thickBot="1">
      <c r="A20" s="710" t="s">
        <v>411</v>
      </c>
      <c r="B20" s="721" t="s">
        <v>414</v>
      </c>
      <c r="C20" s="722">
        <f>C13-C19</f>
        <v>282674760</v>
      </c>
      <c r="D20" s="722">
        <f>C13+D13-C19-D19</f>
        <v>271311528</v>
      </c>
      <c r="E20" s="722">
        <f>C13+D13+E13-C19-D19-E19</f>
        <v>332286284</v>
      </c>
      <c r="F20" s="722">
        <f>C13+D13+E13+F13-C19-D19-E19-F19</f>
        <v>318948561</v>
      </c>
      <c r="G20" s="722">
        <f>(SUM(C13:G13))-(SUM(C19:G19))</f>
        <v>299610838</v>
      </c>
      <c r="H20" s="722">
        <f>(SUM(C13:H13))-(SUM(C19:H19))</f>
        <v>281088119</v>
      </c>
      <c r="I20" s="722">
        <f>(SUM(C13:I13))-(SUM(C19:I19))</f>
        <v>256037096</v>
      </c>
      <c r="J20" s="722">
        <f>(SUM(C13:J13))-(SUM(C19:J19))</f>
        <v>186940156</v>
      </c>
      <c r="K20" s="722">
        <f>(SUM(C13:K13))-(SUM(C19:K19))</f>
        <v>295624519.36</v>
      </c>
      <c r="L20" s="722">
        <f>(SUM(C13:L13))-(SUM(C19:L19))</f>
        <v>236248562.36</v>
      </c>
      <c r="M20" s="722">
        <f>(SUM(C13:M13))-(SUM(C19:M19))</f>
        <v>133302581.36000001</v>
      </c>
      <c r="N20" s="722">
        <f>(SUM(C13:N13))-(SUM(C19:N19))</f>
        <v>0.36000001430511475</v>
      </c>
      <c r="O20" s="723">
        <f>O13-O19</f>
        <v>0.36000001430511475</v>
      </c>
    </row>
    <row r="21" ht="15.75">
      <c r="A21" s="724"/>
    </row>
    <row r="22" spans="2:4" ht="15.75">
      <c r="B22" s="725"/>
      <c r="C22" s="726"/>
      <c r="D22" s="726"/>
    </row>
  </sheetData>
  <sheetProtection/>
  <mergeCells count="4">
    <mergeCell ref="A2:O2"/>
    <mergeCell ref="B5:O5"/>
    <mergeCell ref="B14:O14"/>
    <mergeCell ref="G1:O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"/>
  <sheetViews>
    <sheetView view="pageBreakPreview" zoomScale="60" zoomScalePageLayoutView="0" workbookViewId="0" topLeftCell="A1">
      <selection activeCell="D25" sqref="D25"/>
    </sheetView>
  </sheetViews>
  <sheetFormatPr defaultColWidth="9.140625" defaultRowHeight="12.75"/>
  <cols>
    <col min="1" max="1" width="2.7109375" style="0" bestFit="1" customWidth="1"/>
    <col min="2" max="2" width="55.57421875" style="0" customWidth="1"/>
    <col min="3" max="3" width="10.140625" style="0" hidden="1" customWidth="1"/>
    <col min="4" max="5" width="13.140625" style="0" bestFit="1" customWidth="1"/>
    <col min="6" max="6" width="16.00390625" style="0" bestFit="1" customWidth="1"/>
    <col min="7" max="7" width="13.140625" style="0" bestFit="1" customWidth="1"/>
  </cols>
  <sheetData>
    <row r="1" spans="1:7" ht="15">
      <c r="A1" s="2101" t="s">
        <v>957</v>
      </c>
      <c r="B1" s="2101"/>
      <c r="C1" s="2101"/>
      <c r="D1" s="2101"/>
      <c r="E1" s="2101"/>
      <c r="F1" s="2101"/>
      <c r="G1" s="2101"/>
    </row>
    <row r="2" spans="1:7" ht="18.75">
      <c r="A2" s="2102" t="s">
        <v>958</v>
      </c>
      <c r="B2" s="2102"/>
      <c r="C2" s="2102"/>
      <c r="D2" s="2102"/>
      <c r="E2" s="2102"/>
      <c r="F2" s="2102"/>
      <c r="G2" s="2102"/>
    </row>
    <row r="3" spans="1:7" ht="18.75">
      <c r="A3" s="2102" t="s">
        <v>959</v>
      </c>
      <c r="B3" s="2102"/>
      <c r="C3" s="2102"/>
      <c r="D3" s="2102"/>
      <c r="E3" s="2102"/>
      <c r="F3" s="2102"/>
      <c r="G3" s="2102"/>
    </row>
    <row r="4" spans="1:7" ht="15" thickBot="1">
      <c r="A4" s="1467"/>
      <c r="B4" s="1467"/>
      <c r="C4" s="2103" t="s">
        <v>443</v>
      </c>
      <c r="D4" s="2103"/>
      <c r="E4" s="2103"/>
      <c r="F4" s="2103"/>
      <c r="G4" s="2103"/>
    </row>
    <row r="5" spans="1:7" ht="16.5" thickBot="1">
      <c r="A5" s="2104" t="s">
        <v>377</v>
      </c>
      <c r="B5" s="2105"/>
      <c r="C5" s="1530">
        <v>2016</v>
      </c>
      <c r="D5" s="1530">
        <v>2020</v>
      </c>
      <c r="E5" s="1530">
        <v>2021</v>
      </c>
      <c r="F5" s="1530">
        <v>2022</v>
      </c>
      <c r="G5" s="1530">
        <v>2023</v>
      </c>
    </row>
    <row r="6" spans="1:7" ht="16.5" hidden="1" thickBot="1">
      <c r="A6" s="1472">
        <v>1</v>
      </c>
      <c r="B6" s="1474">
        <v>2</v>
      </c>
      <c r="C6" s="1475">
        <v>3</v>
      </c>
      <c r="D6" s="1475">
        <v>4</v>
      </c>
      <c r="E6" s="1475">
        <v>4</v>
      </c>
      <c r="F6" s="1475">
        <v>5</v>
      </c>
      <c r="G6" s="1475">
        <v>6</v>
      </c>
    </row>
    <row r="7" spans="1:7" ht="15.75">
      <c r="A7" s="2106" t="s">
        <v>273</v>
      </c>
      <c r="B7" s="2107"/>
      <c r="C7" s="642"/>
      <c r="D7" s="642">
        <f>+'[6]1.sz.m-önk.össze.bev'!J8</f>
        <v>18435803</v>
      </c>
      <c r="E7" s="642">
        <f>SUM('3.sz.m Önk  bev.'!I8)</f>
        <v>19867796</v>
      </c>
      <c r="F7" s="642">
        <v>19867796</v>
      </c>
      <c r="G7" s="642">
        <v>19867796</v>
      </c>
    </row>
    <row r="8" spans="1:7" ht="15.75">
      <c r="A8" s="2097" t="s">
        <v>378</v>
      </c>
      <c r="B8" s="2098"/>
      <c r="C8" s="644"/>
      <c r="D8" s="644">
        <f>+'[6]1.sz.m-önk.össze.bev'!J13</f>
        <v>192680896</v>
      </c>
      <c r="E8" s="644">
        <f>SUM('3.sz.m Önk  bev.'!I13)</f>
        <v>183333814</v>
      </c>
      <c r="F8" s="644">
        <v>183333814</v>
      </c>
      <c r="G8" s="644">
        <v>18333814</v>
      </c>
    </row>
    <row r="9" spans="1:7" ht="15.75">
      <c r="A9" s="2099" t="s">
        <v>960</v>
      </c>
      <c r="B9" s="2100"/>
      <c r="C9" s="647"/>
      <c r="D9" s="647">
        <f>+'[6]1.sz.m-önk.össze.bev'!J55</f>
        <v>472441</v>
      </c>
      <c r="E9" s="647">
        <f>SUM('3.sz.m Önk  bev.'!I53)</f>
        <v>1264300</v>
      </c>
      <c r="F9" s="647">
        <v>1264300</v>
      </c>
      <c r="G9" s="647">
        <v>1264300</v>
      </c>
    </row>
    <row r="10" spans="1:7" ht="15.75">
      <c r="A10" s="2099" t="s">
        <v>288</v>
      </c>
      <c r="B10" s="2100"/>
      <c r="C10" s="647"/>
      <c r="D10" s="647">
        <f>+'[6]1.sz.m-önk.össze.bev'!J20</f>
        <v>1694964</v>
      </c>
      <c r="E10" s="647">
        <f>SUM('3.sz.m Önk  bev.'!I20)</f>
        <v>1845745</v>
      </c>
      <c r="F10" s="647">
        <v>1845745</v>
      </c>
      <c r="G10" s="647">
        <v>1845745</v>
      </c>
    </row>
    <row r="11" spans="1:7" ht="16.5" thickBot="1">
      <c r="A11" s="2099" t="s">
        <v>380</v>
      </c>
      <c r="B11" s="2100"/>
      <c r="C11" s="649"/>
      <c r="D11" s="649">
        <f>+'[6]1.sz.m-önk.össze.bev'!J25</f>
        <v>1043112</v>
      </c>
      <c r="E11" s="649">
        <f>SUM('3.sz.m Önk  bev.'!I24)</f>
        <v>643286</v>
      </c>
      <c r="F11" s="649">
        <v>643286</v>
      </c>
      <c r="G11" s="649">
        <v>643286</v>
      </c>
    </row>
    <row r="12" spans="1:7" ht="16.5" hidden="1" thickBot="1">
      <c r="A12" s="1481" t="s">
        <v>12</v>
      </c>
      <c r="B12" s="1531" t="s">
        <v>961</v>
      </c>
      <c r="C12" s="647"/>
      <c r="D12" s="647"/>
      <c r="E12" s="647"/>
      <c r="F12" s="647" t="e">
        <f>E12/C12</f>
        <v>#DIV/0!</v>
      </c>
      <c r="G12" s="647"/>
    </row>
    <row r="13" spans="1:7" ht="16.5" thickBot="1">
      <c r="A13" s="2089" t="s">
        <v>381</v>
      </c>
      <c r="B13" s="2090"/>
      <c r="C13" s="650">
        <f>SUM(C7:C12)</f>
        <v>0</v>
      </c>
      <c r="D13" s="650">
        <f>SUM(D7:D12)</f>
        <v>214327216</v>
      </c>
      <c r="E13" s="650">
        <f>SUM(E7:E12)</f>
        <v>206954941</v>
      </c>
      <c r="F13" s="650">
        <f>SUM(F7:F11)</f>
        <v>206954941</v>
      </c>
      <c r="G13" s="650">
        <f>SUM(G7:G12)</f>
        <v>41954941</v>
      </c>
    </row>
    <row r="14" spans="1:7" ht="16.5" thickBot="1">
      <c r="A14" s="2089" t="s">
        <v>962</v>
      </c>
      <c r="B14" s="2090"/>
      <c r="C14" s="650">
        <f>C13/2</f>
        <v>0</v>
      </c>
      <c r="D14" s="650">
        <f>D13/2</f>
        <v>107163608</v>
      </c>
      <c r="E14" s="650">
        <f>E13/2</f>
        <v>103477470.5</v>
      </c>
      <c r="F14" s="650">
        <f>F13/2</f>
        <v>103477470.5</v>
      </c>
      <c r="G14" s="650">
        <f>G13/2</f>
        <v>20977470.5</v>
      </c>
    </row>
    <row r="15" spans="1:7" ht="16.5" thickBot="1">
      <c r="A15" s="2089" t="s">
        <v>963</v>
      </c>
      <c r="B15" s="2090"/>
      <c r="C15" s="650">
        <v>0</v>
      </c>
      <c r="D15" s="650"/>
      <c r="E15" s="650">
        <v>0</v>
      </c>
      <c r="F15" s="650">
        <v>0</v>
      </c>
      <c r="G15" s="650">
        <v>0</v>
      </c>
    </row>
    <row r="16" spans="1:7" ht="16.5" thickBot="1">
      <c r="A16" s="2093" t="s">
        <v>964</v>
      </c>
      <c r="B16" s="2094"/>
      <c r="C16" s="1532">
        <v>0</v>
      </c>
      <c r="D16" s="1532"/>
      <c r="E16" s="1532">
        <v>0</v>
      </c>
      <c r="F16" s="1532">
        <v>0</v>
      </c>
      <c r="G16" s="1532">
        <v>0</v>
      </c>
    </row>
    <row r="17" spans="1:7" ht="16.5" thickBot="1">
      <c r="A17" s="2089" t="s">
        <v>965</v>
      </c>
      <c r="B17" s="2090"/>
      <c r="C17" s="650">
        <v>0</v>
      </c>
      <c r="D17" s="650"/>
      <c r="E17" s="650">
        <v>0</v>
      </c>
      <c r="F17" s="650">
        <v>0</v>
      </c>
      <c r="G17" s="650">
        <v>0</v>
      </c>
    </row>
    <row r="18" spans="1:7" ht="16.5" thickBot="1">
      <c r="A18" s="2091"/>
      <c r="B18" s="2095"/>
      <c r="C18" s="2095"/>
      <c r="D18" s="2095"/>
      <c r="E18" s="2095"/>
      <c r="F18" s="2095"/>
      <c r="G18" s="2096"/>
    </row>
    <row r="19" spans="1:7" ht="16.5" thickBot="1">
      <c r="A19" s="2089" t="s">
        <v>966</v>
      </c>
      <c r="B19" s="2090"/>
      <c r="C19" s="650"/>
      <c r="D19" s="650"/>
      <c r="E19" s="650"/>
      <c r="F19" s="650"/>
      <c r="G19" s="650"/>
    </row>
    <row r="20" spans="1:7" ht="16.5" thickBot="1">
      <c r="A20" s="2093" t="s">
        <v>967</v>
      </c>
      <c r="B20" s="2094"/>
      <c r="C20" s="1532"/>
      <c r="D20" s="1532">
        <v>0</v>
      </c>
      <c r="E20" s="1532">
        <v>0</v>
      </c>
      <c r="F20" s="1532">
        <v>0</v>
      </c>
      <c r="G20" s="1532">
        <v>0</v>
      </c>
    </row>
    <row r="21" spans="1:7" ht="16.5" thickBot="1">
      <c r="A21" s="2089" t="s">
        <v>968</v>
      </c>
      <c r="B21" s="2090"/>
      <c r="C21" s="650"/>
      <c r="D21" s="650">
        <v>0</v>
      </c>
      <c r="E21" s="650">
        <v>0</v>
      </c>
      <c r="F21" s="650">
        <v>0</v>
      </c>
      <c r="G21" s="650">
        <v>0</v>
      </c>
    </row>
    <row r="22" spans="1:7" ht="16.5" thickBot="1">
      <c r="A22" s="2089"/>
      <c r="B22" s="2090"/>
      <c r="C22" s="650"/>
      <c r="D22" s="650"/>
      <c r="E22" s="650"/>
      <c r="F22" s="650"/>
      <c r="G22" s="650"/>
    </row>
    <row r="23" spans="1:7" ht="16.5" thickBot="1">
      <c r="A23" s="2089" t="s">
        <v>969</v>
      </c>
      <c r="B23" s="2090"/>
      <c r="C23" s="650"/>
      <c r="D23" s="650"/>
      <c r="E23" s="650"/>
      <c r="F23" s="650"/>
      <c r="G23" s="650"/>
    </row>
    <row r="24" spans="1:7" ht="16.5" thickBot="1">
      <c r="A24" s="2093" t="s">
        <v>970</v>
      </c>
      <c r="B24" s="2094"/>
      <c r="C24" s="650">
        <v>0</v>
      </c>
      <c r="D24" s="650">
        <v>2267801</v>
      </c>
      <c r="E24" s="650">
        <v>0</v>
      </c>
      <c r="F24" s="650">
        <v>0</v>
      </c>
      <c r="G24" s="650">
        <v>0</v>
      </c>
    </row>
    <row r="25" spans="1:7" ht="16.5" thickBot="1">
      <c r="A25" s="2093" t="s">
        <v>971</v>
      </c>
      <c r="B25" s="2094"/>
      <c r="C25" s="650"/>
      <c r="D25" s="650">
        <f>+'[6]7.sz.m.Dologi kiadás (3)'!I18</f>
        <v>12832</v>
      </c>
      <c r="E25" s="650">
        <v>0</v>
      </c>
      <c r="F25" s="650">
        <v>0</v>
      </c>
      <c r="G25" s="650">
        <v>0</v>
      </c>
    </row>
    <row r="26" spans="1:7" ht="16.5" thickBot="1">
      <c r="A26" s="2093" t="s">
        <v>972</v>
      </c>
      <c r="B26" s="2094"/>
      <c r="C26" s="650"/>
      <c r="D26" s="650"/>
      <c r="E26" s="650"/>
      <c r="F26" s="650"/>
      <c r="G26" s="650"/>
    </row>
    <row r="27" spans="1:7" ht="16.5" thickBot="1">
      <c r="A27" s="2089" t="s">
        <v>973</v>
      </c>
      <c r="B27" s="2090"/>
      <c r="C27" s="650">
        <f>SUM(C24:C26)</f>
        <v>0</v>
      </c>
      <c r="D27" s="650">
        <f>SUM(D24:D26)</f>
        <v>2280633</v>
      </c>
      <c r="E27" s="650">
        <f>SUM(E24:E26)</f>
        <v>0</v>
      </c>
      <c r="F27" s="650">
        <v>0</v>
      </c>
      <c r="G27" s="650">
        <f>SUM(G24:G26)</f>
        <v>0</v>
      </c>
    </row>
    <row r="28" spans="1:7" ht="16.5" thickBot="1">
      <c r="A28" s="2091"/>
      <c r="B28" s="2092"/>
      <c r="C28" s="650"/>
      <c r="D28" s="650"/>
      <c r="E28" s="650"/>
      <c r="F28" s="650"/>
      <c r="G28" s="650"/>
    </row>
    <row r="29" spans="1:7" ht="16.5" thickBot="1">
      <c r="A29" s="2089" t="s">
        <v>974</v>
      </c>
      <c r="B29" s="2090"/>
      <c r="C29" s="650"/>
      <c r="D29" s="650"/>
      <c r="E29" s="650"/>
      <c r="F29" s="650"/>
      <c r="G29" s="650"/>
    </row>
    <row r="30" spans="1:7" ht="16.5" thickBot="1">
      <c r="A30" s="2093" t="s">
        <v>975</v>
      </c>
      <c r="B30" s="2094"/>
      <c r="C30" s="650">
        <v>0</v>
      </c>
      <c r="D30" s="650"/>
      <c r="E30" s="650"/>
      <c r="F30" s="650"/>
      <c r="G30" s="650"/>
    </row>
    <row r="31" spans="1:7" ht="16.5" thickBot="1">
      <c r="A31" s="2093" t="s">
        <v>976</v>
      </c>
      <c r="B31" s="2094"/>
      <c r="C31" s="650"/>
      <c r="D31" s="650"/>
      <c r="E31" s="650"/>
      <c r="F31" s="650"/>
      <c r="G31" s="650"/>
    </row>
    <row r="32" spans="1:7" ht="16.5" thickBot="1">
      <c r="A32" s="2093" t="s">
        <v>972</v>
      </c>
      <c r="B32" s="2094"/>
      <c r="C32" s="650"/>
      <c r="D32" s="650"/>
      <c r="E32" s="650"/>
      <c r="F32" s="650"/>
      <c r="G32" s="650"/>
    </row>
    <row r="33" spans="1:7" ht="16.5" thickBot="1">
      <c r="A33" s="2089" t="s">
        <v>977</v>
      </c>
      <c r="B33" s="2090"/>
      <c r="C33" s="650">
        <f>SUM(C30:C32)</f>
        <v>0</v>
      </c>
      <c r="D33" s="650">
        <f>SUM(D30:D32)</f>
        <v>0</v>
      </c>
      <c r="E33" s="650">
        <f>SUM(E30:E32)</f>
        <v>0</v>
      </c>
      <c r="F33" s="650">
        <f>SUM(F30:F32)</f>
        <v>0</v>
      </c>
      <c r="G33" s="650">
        <f>SUM(G30:G32)</f>
        <v>0</v>
      </c>
    </row>
    <row r="34" spans="1:7" ht="16.5" thickBot="1">
      <c r="A34" s="2089" t="s">
        <v>978</v>
      </c>
      <c r="B34" s="2090"/>
      <c r="C34" s="650">
        <f>C14-C33</f>
        <v>0</v>
      </c>
      <c r="D34" s="650">
        <f>D14-D33-D27</f>
        <v>104882975</v>
      </c>
      <c r="E34" s="650">
        <f>E14-E33-E27</f>
        <v>103477470.5</v>
      </c>
      <c r="F34" s="650">
        <f>F14-F33-F27</f>
        <v>103477470.5</v>
      </c>
      <c r="G34" s="650">
        <f>G14-G33-G27</f>
        <v>20977470.5</v>
      </c>
    </row>
  </sheetData>
  <sheetProtection/>
  <mergeCells count="32">
    <mergeCell ref="A1:G1"/>
    <mergeCell ref="A2:G2"/>
    <mergeCell ref="A3:G3"/>
    <mergeCell ref="C4:G4"/>
    <mergeCell ref="A5:B5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G18"/>
    <mergeCell ref="A19:B19"/>
    <mergeCell ref="A20:B20"/>
    <mergeCell ref="A21:B21"/>
    <mergeCell ref="A22:B22"/>
    <mergeCell ref="A23:B23"/>
    <mergeCell ref="A24:B24"/>
    <mergeCell ref="A25:B25"/>
    <mergeCell ref="A26:B26"/>
    <mergeCell ref="A33:B33"/>
    <mergeCell ref="A34:B34"/>
    <mergeCell ref="A27:B27"/>
    <mergeCell ref="A28:B28"/>
    <mergeCell ref="A29:B29"/>
    <mergeCell ref="A30:B30"/>
    <mergeCell ref="A31:B31"/>
    <mergeCell ref="A32:B3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N55"/>
  <sheetViews>
    <sheetView view="pageBreakPreview" zoomScale="60" zoomScalePageLayoutView="0" workbookViewId="0" topLeftCell="A31">
      <selection activeCell="E6" sqref="E6"/>
    </sheetView>
  </sheetViews>
  <sheetFormatPr defaultColWidth="9.140625" defaultRowHeight="12.75"/>
  <cols>
    <col min="1" max="1" width="59.140625" style="503" customWidth="1"/>
    <col min="2" max="2" width="15.7109375" style="503" customWidth="1"/>
    <col min="3" max="3" width="13.140625" style="503" hidden="1" customWidth="1"/>
    <col min="4" max="4" width="13.28125" style="503" hidden="1" customWidth="1"/>
    <col min="5" max="5" width="14.421875" style="503" customWidth="1"/>
    <col min="6" max="6" width="17.57421875" style="503" customWidth="1"/>
    <col min="7" max="7" width="23.57421875" style="503" customWidth="1"/>
    <col min="8" max="8" width="21.57421875" style="503" customWidth="1"/>
    <col min="9" max="9" width="31.00390625" style="503" customWidth="1"/>
    <col min="10" max="10" width="23.7109375" style="503" customWidth="1"/>
    <col min="11" max="11" width="14.421875" style="503" customWidth="1"/>
    <col min="12" max="13" width="10.8515625" style="503" bestFit="1" customWidth="1"/>
    <col min="14" max="16384" width="9.140625" style="503" customWidth="1"/>
  </cols>
  <sheetData>
    <row r="1" spans="1:7" ht="21" customHeight="1">
      <c r="A1" s="1797" t="s">
        <v>979</v>
      </c>
      <c r="B1" s="1797"/>
      <c r="C1" s="1797"/>
      <c r="D1" s="1797"/>
      <c r="E1" s="1797"/>
      <c r="F1" s="1797"/>
      <c r="G1" s="1797"/>
    </row>
    <row r="2" spans="1:7" s="504" customFormat="1" ht="51.75" customHeight="1">
      <c r="A2" s="1796" t="s">
        <v>598</v>
      </c>
      <c r="B2" s="1796"/>
      <c r="C2" s="1796"/>
      <c r="D2" s="1796"/>
      <c r="E2" s="1796"/>
      <c r="F2" s="1796"/>
      <c r="G2" s="1796"/>
    </row>
    <row r="3" spans="1:7" ht="15.75" customHeight="1" thickBot="1">
      <c r="A3" s="505"/>
      <c r="B3" s="1798" t="s">
        <v>445</v>
      </c>
      <c r="C3" s="1798"/>
      <c r="D3" s="1798"/>
      <c r="E3" s="1798"/>
      <c r="F3" s="1798"/>
      <c r="G3" s="1798"/>
    </row>
    <row r="4" spans="1:10" s="507" customFormat="1" ht="24" customHeight="1" thickBot="1">
      <c r="A4" s="506" t="s">
        <v>243</v>
      </c>
      <c r="B4" s="524" t="s">
        <v>244</v>
      </c>
      <c r="C4" s="524" t="s">
        <v>219</v>
      </c>
      <c r="D4" s="524" t="s">
        <v>224</v>
      </c>
      <c r="E4" s="524" t="s">
        <v>226</v>
      </c>
      <c r="F4" s="1562" t="s">
        <v>998</v>
      </c>
      <c r="G4" s="1562" t="s">
        <v>999</v>
      </c>
      <c r="H4" s="1562" t="s">
        <v>1000</v>
      </c>
      <c r="I4" s="1562" t="s">
        <v>1001</v>
      </c>
      <c r="J4" s="1562" t="s">
        <v>1002</v>
      </c>
    </row>
    <row r="5" spans="1:10" s="509" customFormat="1" ht="21" customHeight="1">
      <c r="A5" s="508" t="s">
        <v>245</v>
      </c>
      <c r="B5" s="525">
        <v>90970859</v>
      </c>
      <c r="C5" s="525">
        <v>90970859</v>
      </c>
      <c r="D5" s="525">
        <v>90970859</v>
      </c>
      <c r="E5" s="525">
        <v>90970859</v>
      </c>
      <c r="F5" s="525">
        <v>90970859</v>
      </c>
      <c r="G5" s="525">
        <v>90970859</v>
      </c>
      <c r="H5" s="525">
        <v>90970859</v>
      </c>
      <c r="I5" s="525"/>
      <c r="J5" s="1563">
        <f>SUM(H5-F5)</f>
        <v>0</v>
      </c>
    </row>
    <row r="6" spans="1:10" s="509" customFormat="1" ht="21" customHeight="1">
      <c r="A6" s="510" t="s">
        <v>246</v>
      </c>
      <c r="B6" s="526">
        <v>0</v>
      </c>
      <c r="C6" s="526">
        <v>0</v>
      </c>
      <c r="D6" s="526">
        <v>0</v>
      </c>
      <c r="E6" s="526">
        <v>0</v>
      </c>
      <c r="F6" s="526">
        <v>0</v>
      </c>
      <c r="G6" s="526"/>
      <c r="H6" s="526">
        <v>0</v>
      </c>
      <c r="I6" s="526">
        <v>0</v>
      </c>
      <c r="J6" s="1563">
        <f>SUM(H6-F6)</f>
        <v>0</v>
      </c>
    </row>
    <row r="7" spans="1:10" s="509" customFormat="1" ht="21" customHeight="1">
      <c r="A7" s="510" t="s">
        <v>247</v>
      </c>
      <c r="B7" s="526">
        <v>0</v>
      </c>
      <c r="C7" s="526">
        <v>0</v>
      </c>
      <c r="D7" s="526">
        <v>0</v>
      </c>
      <c r="E7" s="526">
        <v>0</v>
      </c>
      <c r="F7" s="526">
        <v>0</v>
      </c>
      <c r="G7" s="526"/>
      <c r="H7" s="526">
        <v>0</v>
      </c>
      <c r="I7" s="526">
        <v>0</v>
      </c>
      <c r="J7" s="1563">
        <f aca="true" t="shared" si="0" ref="J7:J13">SUM(H7-F7)</f>
        <v>0</v>
      </c>
    </row>
    <row r="8" spans="1:10" s="509" customFormat="1" ht="21" customHeight="1">
      <c r="A8" s="510" t="s">
        <v>248</v>
      </c>
      <c r="B8" s="526">
        <v>0</v>
      </c>
      <c r="C8" s="526">
        <v>0</v>
      </c>
      <c r="D8" s="526">
        <v>0</v>
      </c>
      <c r="E8" s="526">
        <v>0</v>
      </c>
      <c r="F8" s="526">
        <v>0</v>
      </c>
      <c r="G8" s="526"/>
      <c r="H8" s="526">
        <v>0</v>
      </c>
      <c r="I8" s="526">
        <v>0</v>
      </c>
      <c r="J8" s="1563">
        <f t="shared" si="0"/>
        <v>0</v>
      </c>
    </row>
    <row r="9" spans="1:10" s="509" customFormat="1" ht="21" customHeight="1">
      <c r="A9" s="511" t="s">
        <v>249</v>
      </c>
      <c r="B9" s="526">
        <v>0</v>
      </c>
      <c r="C9" s="526">
        <v>0</v>
      </c>
      <c r="D9" s="526">
        <v>0</v>
      </c>
      <c r="E9" s="526">
        <v>0</v>
      </c>
      <c r="F9" s="526">
        <v>0</v>
      </c>
      <c r="G9" s="526"/>
      <c r="H9" s="526">
        <v>0</v>
      </c>
      <c r="I9" s="526">
        <v>0</v>
      </c>
      <c r="J9" s="1563">
        <f t="shared" si="0"/>
        <v>0</v>
      </c>
    </row>
    <row r="10" spans="1:10" s="509" customFormat="1" ht="21" customHeight="1">
      <c r="A10" s="508" t="s">
        <v>250</v>
      </c>
      <c r="B10" s="527">
        <f>SUM(B6:B9)</f>
        <v>0</v>
      </c>
      <c r="C10" s="527">
        <f>SUM(C6:C9)</f>
        <v>0</v>
      </c>
      <c r="D10" s="527">
        <f>SUM(D6:D9)</f>
        <v>0</v>
      </c>
      <c r="E10" s="527">
        <f>SUM(E6:E9)</f>
        <v>0</v>
      </c>
      <c r="F10" s="527">
        <f>SUM(F6:F9)</f>
        <v>0</v>
      </c>
      <c r="G10" s="527"/>
      <c r="H10" s="527">
        <f>SUM(H6:H9)</f>
        <v>0</v>
      </c>
      <c r="I10" s="527">
        <f>SUM(I6:I9)</f>
        <v>0</v>
      </c>
      <c r="J10" s="1563">
        <f t="shared" si="0"/>
        <v>0</v>
      </c>
    </row>
    <row r="11" spans="1:10" s="509" customFormat="1" ht="21" customHeight="1">
      <c r="A11" s="512" t="s">
        <v>251</v>
      </c>
      <c r="B11" s="527"/>
      <c r="C11" s="527"/>
      <c r="D11" s="527"/>
      <c r="E11" s="527"/>
      <c r="F11" s="527"/>
      <c r="G11" s="527"/>
      <c r="H11" s="527"/>
      <c r="I11" s="527"/>
      <c r="J11" s="1563">
        <f t="shared" si="0"/>
        <v>0</v>
      </c>
    </row>
    <row r="12" spans="1:10" s="509" customFormat="1" ht="21" customHeight="1">
      <c r="A12" s="508" t="s">
        <v>328</v>
      </c>
      <c r="B12" s="527">
        <v>0</v>
      </c>
      <c r="C12" s="527">
        <v>0</v>
      </c>
      <c r="D12" s="527">
        <v>0</v>
      </c>
      <c r="E12" s="527">
        <v>0</v>
      </c>
      <c r="F12" s="527">
        <v>0</v>
      </c>
      <c r="G12" s="527"/>
      <c r="H12" s="527">
        <v>0</v>
      </c>
      <c r="I12" s="527">
        <v>0</v>
      </c>
      <c r="J12" s="1563">
        <f t="shared" si="0"/>
        <v>0</v>
      </c>
    </row>
    <row r="13" spans="1:10" s="509" customFormat="1" ht="21" customHeight="1" thickBot="1">
      <c r="A13" s="508" t="s">
        <v>254</v>
      </c>
      <c r="B13" s="558">
        <v>0</v>
      </c>
      <c r="C13" s="558">
        <v>0</v>
      </c>
      <c r="D13" s="558">
        <v>0</v>
      </c>
      <c r="E13" s="558">
        <v>0</v>
      </c>
      <c r="F13" s="558">
        <v>0</v>
      </c>
      <c r="G13" s="558"/>
      <c r="H13" s="558">
        <v>0</v>
      </c>
      <c r="I13" s="558">
        <v>0</v>
      </c>
      <c r="J13" s="1563">
        <f t="shared" si="0"/>
        <v>0</v>
      </c>
    </row>
    <row r="14" spans="1:10" s="1674" customFormat="1" ht="21" customHeight="1" thickBot="1">
      <c r="A14" s="1671" t="s">
        <v>638</v>
      </c>
      <c r="B14" s="1672"/>
      <c r="C14" s="1672"/>
      <c r="D14" s="1672">
        <v>507709</v>
      </c>
      <c r="E14" s="1672">
        <f>507709</f>
        <v>507709</v>
      </c>
      <c r="F14" s="1672">
        <f>507709</f>
        <v>507709</v>
      </c>
      <c r="G14" s="1672">
        <f>507709</f>
        <v>507709</v>
      </c>
      <c r="H14" s="1672">
        <f>507709</f>
        <v>507709</v>
      </c>
      <c r="I14" s="1672"/>
      <c r="J14" s="1673">
        <f aca="true" t="shared" si="1" ref="J14:J20">SUM(H14-F14)</f>
        <v>0</v>
      </c>
    </row>
    <row r="15" spans="1:14" s="515" customFormat="1" ht="24.75" customHeight="1" thickBot="1">
      <c r="A15" s="514" t="s">
        <v>578</v>
      </c>
      <c r="B15" s="528">
        <f aca="true" t="shared" si="2" ref="B15:I15">B5+B10-B11+B12+B13+B14</f>
        <v>90970859</v>
      </c>
      <c r="C15" s="528">
        <f t="shared" si="2"/>
        <v>90970859</v>
      </c>
      <c r="D15" s="528">
        <f t="shared" si="2"/>
        <v>91478568</v>
      </c>
      <c r="E15" s="528">
        <f t="shared" si="2"/>
        <v>91478568</v>
      </c>
      <c r="F15" s="528">
        <f t="shared" si="2"/>
        <v>91478568</v>
      </c>
      <c r="G15" s="528">
        <f t="shared" si="2"/>
        <v>91478568</v>
      </c>
      <c r="H15" s="528">
        <f>H5+H10-H11+H12+H13+H14</f>
        <v>91478568</v>
      </c>
      <c r="I15" s="528">
        <f t="shared" si="2"/>
        <v>0</v>
      </c>
      <c r="J15" s="1563">
        <f t="shared" si="1"/>
        <v>0</v>
      </c>
      <c r="L15" s="929"/>
      <c r="M15" s="929"/>
      <c r="N15" s="929"/>
    </row>
    <row r="16" spans="1:14" ht="33.75" customHeight="1">
      <c r="A16" s="1666" t="s">
        <v>619</v>
      </c>
      <c r="B16" s="525">
        <f>29289050+9600000+2380200</f>
        <v>41269250</v>
      </c>
      <c r="C16" s="525">
        <f>29289050+9600000+2380200</f>
        <v>41269250</v>
      </c>
      <c r="D16" s="525">
        <f>29289050+9600000+2380200-158680</f>
        <v>41110570</v>
      </c>
      <c r="E16" s="525">
        <f>29289050+9600000+2380200-158680+874300+39670</f>
        <v>42024540</v>
      </c>
      <c r="F16" s="525">
        <v>42024540</v>
      </c>
      <c r="G16" s="525">
        <v>42024540</v>
      </c>
      <c r="H16" s="525">
        <v>42024540</v>
      </c>
      <c r="I16" s="525"/>
      <c r="J16" s="1563">
        <f t="shared" si="1"/>
        <v>0</v>
      </c>
      <c r="M16" s="768"/>
      <c r="N16" s="929"/>
    </row>
    <row r="17" spans="1:11" ht="24.75" customHeight="1">
      <c r="A17" s="512" t="s">
        <v>252</v>
      </c>
      <c r="B17" s="527">
        <v>6720600</v>
      </c>
      <c r="C17" s="527">
        <v>6720600</v>
      </c>
      <c r="D17" s="527">
        <v>6720600</v>
      </c>
      <c r="E17" s="527">
        <f>6720600+165580</f>
        <v>6886180</v>
      </c>
      <c r="F17" s="527">
        <v>6886180</v>
      </c>
      <c r="G17" s="527">
        <v>5984150</v>
      </c>
      <c r="H17" s="527">
        <v>5984150</v>
      </c>
      <c r="I17" s="527"/>
      <c r="J17" s="1563">
        <f t="shared" si="1"/>
        <v>-902030</v>
      </c>
      <c r="K17" s="1667"/>
    </row>
    <row r="18" spans="1:10" s="1677" customFormat="1" ht="24.75" customHeight="1" thickBot="1">
      <c r="A18" s="1675" t="s">
        <v>639</v>
      </c>
      <c r="B18" s="1676"/>
      <c r="C18" s="1676"/>
      <c r="D18" s="1676">
        <v>3478750</v>
      </c>
      <c r="E18" s="1676">
        <v>3478750</v>
      </c>
      <c r="F18" s="1676">
        <v>3478750</v>
      </c>
      <c r="G18" s="1676">
        <v>3484100</v>
      </c>
      <c r="H18" s="1676">
        <v>3484100</v>
      </c>
      <c r="I18" s="1676"/>
      <c r="J18" s="1673">
        <f t="shared" si="1"/>
        <v>5350</v>
      </c>
    </row>
    <row r="19" spans="1:12" s="515" customFormat="1" ht="24.75" customHeight="1" thickBot="1">
      <c r="A19" s="516" t="s">
        <v>329</v>
      </c>
      <c r="B19" s="529">
        <f>SUM(B16:B17)</f>
        <v>47989850</v>
      </c>
      <c r="C19" s="529">
        <f>SUM(C16:C17)</f>
        <v>47989850</v>
      </c>
      <c r="D19" s="529">
        <f>SUM(D16:D18)</f>
        <v>51309920</v>
      </c>
      <c r="E19" s="529">
        <f>SUM(E16:E18)</f>
        <v>52389470</v>
      </c>
      <c r="F19" s="529">
        <f>SUM(F16:F18)</f>
        <v>52389470</v>
      </c>
      <c r="G19" s="529">
        <f>SUM(G16:G18)</f>
        <v>51492790</v>
      </c>
      <c r="H19" s="529">
        <f>SUM(H16:H18)</f>
        <v>51492790</v>
      </c>
      <c r="I19" s="529">
        <f>SUM(I16:I17)</f>
        <v>0</v>
      </c>
      <c r="J19" s="1563">
        <f t="shared" si="1"/>
        <v>-896680</v>
      </c>
      <c r="K19" s="1668"/>
      <c r="L19" s="929"/>
    </row>
    <row r="20" spans="1:10" ht="24.75" customHeight="1">
      <c r="A20" s="517" t="s">
        <v>253</v>
      </c>
      <c r="B20" s="530">
        <v>0</v>
      </c>
      <c r="C20" s="530">
        <v>0</v>
      </c>
      <c r="D20" s="530">
        <v>0</v>
      </c>
      <c r="E20" s="530">
        <v>0</v>
      </c>
      <c r="F20" s="530">
        <v>0</v>
      </c>
      <c r="G20" s="530"/>
      <c r="H20" s="530"/>
      <c r="I20" s="530"/>
      <c r="J20" s="1563">
        <f t="shared" si="1"/>
        <v>0</v>
      </c>
    </row>
    <row r="21" spans="1:10" ht="24.75" customHeight="1">
      <c r="A21" s="510" t="s">
        <v>620</v>
      </c>
      <c r="B21" s="531">
        <v>22680000</v>
      </c>
      <c r="C21" s="531">
        <v>22680000</v>
      </c>
      <c r="D21" s="531">
        <v>22680000</v>
      </c>
      <c r="E21" s="531">
        <v>22680000</v>
      </c>
      <c r="F21" s="531">
        <v>22680000</v>
      </c>
      <c r="G21" s="531">
        <v>22680000</v>
      </c>
      <c r="H21" s="531">
        <v>22680000</v>
      </c>
      <c r="I21" s="531"/>
      <c r="J21" s="1563">
        <f>SUM(H21-F21)</f>
        <v>0</v>
      </c>
    </row>
    <row r="22" spans="1:10" ht="24.75" customHeight="1">
      <c r="A22" s="511" t="s">
        <v>255</v>
      </c>
      <c r="B22" s="531"/>
      <c r="C22" s="531"/>
      <c r="D22" s="531"/>
      <c r="E22" s="531"/>
      <c r="F22" s="531"/>
      <c r="G22" s="531"/>
      <c r="H22" s="531"/>
      <c r="I22" s="531"/>
      <c r="J22" s="1563">
        <f>SUM(H22-F22)</f>
        <v>0</v>
      </c>
    </row>
    <row r="23" spans="1:10" ht="24.75" customHeight="1">
      <c r="A23" s="510" t="s">
        <v>621</v>
      </c>
      <c r="B23" s="1669">
        <v>16895560</v>
      </c>
      <c r="C23" s="531">
        <v>16895560</v>
      </c>
      <c r="D23" s="531">
        <f>16895560+359480</f>
        <v>17255040</v>
      </c>
      <c r="E23" s="531">
        <f>16895560+359480</f>
        <v>17255040</v>
      </c>
      <c r="F23" s="1669">
        <v>17255040</v>
      </c>
      <c r="G23" s="1811">
        <v>17398832</v>
      </c>
      <c r="H23" s="1812">
        <v>17398832</v>
      </c>
      <c r="I23" s="531"/>
      <c r="J23" s="1800"/>
    </row>
    <row r="24" spans="1:11" ht="24.75" customHeight="1">
      <c r="A24" s="510" t="s">
        <v>622</v>
      </c>
      <c r="B24" s="1669">
        <v>150000</v>
      </c>
      <c r="C24" s="531">
        <v>150000</v>
      </c>
      <c r="D24" s="531">
        <f>150000+25000</f>
        <v>175000</v>
      </c>
      <c r="E24" s="531">
        <f>150000+25000</f>
        <v>175000</v>
      </c>
      <c r="F24" s="1669">
        <v>175000</v>
      </c>
      <c r="G24" s="1813">
        <v>125000</v>
      </c>
      <c r="H24" s="1813">
        <v>125000</v>
      </c>
      <c r="I24" s="531"/>
      <c r="J24" s="1799"/>
      <c r="K24" s="1667"/>
    </row>
    <row r="25" spans="1:11" ht="24.75" customHeight="1">
      <c r="A25" s="510" t="s">
        <v>623</v>
      </c>
      <c r="B25" s="1669">
        <v>62634000</v>
      </c>
      <c r="C25" s="531">
        <v>62634000</v>
      </c>
      <c r="D25" s="531">
        <f>62634000-2574000</f>
        <v>60060000</v>
      </c>
      <c r="E25" s="531">
        <f>62634000-2574000-4290000</f>
        <v>55770000</v>
      </c>
      <c r="F25" s="1669">
        <v>55770000</v>
      </c>
      <c r="G25" s="1813">
        <v>57486000</v>
      </c>
      <c r="H25" s="1813">
        <v>57486000</v>
      </c>
      <c r="I25" s="531"/>
      <c r="J25" s="1799"/>
      <c r="K25" s="1667"/>
    </row>
    <row r="26" spans="1:10" ht="24.75" customHeight="1">
      <c r="A26" s="511" t="s">
        <v>624</v>
      </c>
      <c r="B26" s="1669">
        <v>6370000</v>
      </c>
      <c r="C26" s="531">
        <v>6370000</v>
      </c>
      <c r="D26" s="531">
        <v>6370000</v>
      </c>
      <c r="E26" s="531">
        <v>6370000</v>
      </c>
      <c r="F26" s="1669">
        <v>6370000</v>
      </c>
      <c r="G26" s="1813">
        <v>6370000</v>
      </c>
      <c r="H26" s="1813">
        <v>6370000</v>
      </c>
      <c r="I26" s="531"/>
      <c r="J26" s="1799"/>
    </row>
    <row r="27" spans="1:11" ht="24.75" customHeight="1">
      <c r="A27" s="511" t="s">
        <v>625</v>
      </c>
      <c r="B27" s="1669">
        <v>2565000</v>
      </c>
      <c r="C27" s="531">
        <v>2565000</v>
      </c>
      <c r="D27" s="531">
        <v>2565000</v>
      </c>
      <c r="E27" s="531">
        <f>2565000-285000</f>
        <v>2280000</v>
      </c>
      <c r="F27" s="1669">
        <v>2280000</v>
      </c>
      <c r="G27" s="1813">
        <v>3705000</v>
      </c>
      <c r="H27" s="1813">
        <v>3705000</v>
      </c>
      <c r="I27" s="531"/>
      <c r="J27" s="1799"/>
      <c r="K27" s="768"/>
    </row>
    <row r="28" spans="1:10" ht="24.75" customHeight="1">
      <c r="A28" s="766" t="s">
        <v>495</v>
      </c>
      <c r="B28" s="1669">
        <v>2000000</v>
      </c>
      <c r="C28" s="531">
        <v>2000000</v>
      </c>
      <c r="D28" s="531">
        <v>2000000</v>
      </c>
      <c r="E28" s="531">
        <v>2000000</v>
      </c>
      <c r="F28" s="1669">
        <v>2000000</v>
      </c>
      <c r="G28" s="1813">
        <v>2000000</v>
      </c>
      <c r="H28" s="1813">
        <v>2000000</v>
      </c>
      <c r="I28" s="531"/>
      <c r="J28" s="1799"/>
    </row>
    <row r="29" spans="1:10" ht="32.25" customHeight="1">
      <c r="A29" s="767" t="s">
        <v>496</v>
      </c>
      <c r="B29" s="1669">
        <v>7448000</v>
      </c>
      <c r="C29" s="531">
        <v>7448000</v>
      </c>
      <c r="D29" s="531">
        <f>7448000-784000</f>
        <v>6664000</v>
      </c>
      <c r="E29" s="531">
        <f>7448000-784000+392000</f>
        <v>7056000</v>
      </c>
      <c r="F29" s="1669">
        <v>7056000</v>
      </c>
      <c r="G29" s="1813">
        <v>7056000</v>
      </c>
      <c r="H29" s="1813">
        <v>7056000</v>
      </c>
      <c r="I29" s="531"/>
      <c r="J29" s="1794"/>
    </row>
    <row r="30" spans="1:10" s="518" customFormat="1" ht="24.75" customHeight="1">
      <c r="A30" s="553" t="s">
        <v>641</v>
      </c>
      <c r="B30" s="554">
        <f aca="true" t="shared" si="3" ref="B30:G30">SUM(B21,B23:B29)</f>
        <v>120742560</v>
      </c>
      <c r="C30" s="554">
        <f t="shared" si="3"/>
        <v>120742560</v>
      </c>
      <c r="D30" s="554">
        <f t="shared" si="3"/>
        <v>117769040</v>
      </c>
      <c r="E30" s="554">
        <f t="shared" si="3"/>
        <v>113586040</v>
      </c>
      <c r="F30" s="554">
        <f t="shared" si="3"/>
        <v>113586040</v>
      </c>
      <c r="G30" s="554">
        <f t="shared" si="3"/>
        <v>116820832</v>
      </c>
      <c r="H30" s="554">
        <f>SUM(H21,H23:H29)</f>
        <v>116820832</v>
      </c>
      <c r="I30" s="554">
        <f>SUM(I21,I23:I26)</f>
        <v>0</v>
      </c>
      <c r="J30" s="1563">
        <f>SUM(H30-F30)</f>
        <v>3234792</v>
      </c>
    </row>
    <row r="31" spans="1:10" s="1681" customFormat="1" ht="24.75" customHeight="1" thickBot="1">
      <c r="A31" s="1678" t="s">
        <v>640</v>
      </c>
      <c r="B31" s="1679"/>
      <c r="C31" s="1679"/>
      <c r="D31" s="1679">
        <f>1920000+7672300</f>
        <v>9592300</v>
      </c>
      <c r="E31" s="1679">
        <f>1920000+7672300</f>
        <v>9592300</v>
      </c>
      <c r="F31" s="1680">
        <v>9592300</v>
      </c>
      <c r="G31" s="1680">
        <v>9529100</v>
      </c>
      <c r="H31" s="1680">
        <v>9529100</v>
      </c>
      <c r="I31" s="1680"/>
      <c r="J31" s="1673">
        <f>SUM(H31-F31)</f>
        <v>-63200</v>
      </c>
    </row>
    <row r="32" spans="1:11" s="518" customFormat="1" ht="24.75" customHeight="1">
      <c r="A32" s="555" t="s">
        <v>332</v>
      </c>
      <c r="B32" s="1669">
        <v>14652000</v>
      </c>
      <c r="C32" s="531">
        <v>14652000</v>
      </c>
      <c r="D32" s="531">
        <f>14652000-2024000</f>
        <v>12628000</v>
      </c>
      <c r="E32" s="531">
        <f>14652000-2024000+154000</f>
        <v>12782000</v>
      </c>
      <c r="F32" s="1669">
        <v>12782000</v>
      </c>
      <c r="G32" s="1814">
        <v>12870000</v>
      </c>
      <c r="H32" s="1814">
        <v>12870000</v>
      </c>
      <c r="I32" s="531"/>
      <c r="J32" s="1795">
        <f>SUM(H32-F32-F33)</f>
        <v>-4776545</v>
      </c>
      <c r="K32" s="1670"/>
    </row>
    <row r="33" spans="1:11" s="518" customFormat="1" ht="24.75" customHeight="1">
      <c r="A33" s="555" t="s">
        <v>331</v>
      </c>
      <c r="B33" s="1669">
        <v>4462799</v>
      </c>
      <c r="C33" s="531">
        <v>4462799</v>
      </c>
      <c r="D33" s="531">
        <f>4462799+348992</f>
        <v>4811791</v>
      </c>
      <c r="E33" s="531">
        <f>4462799+348992+52754</f>
        <v>4864545</v>
      </c>
      <c r="F33" s="1669">
        <v>4864545</v>
      </c>
      <c r="G33" s="1815">
        <v>4864545</v>
      </c>
      <c r="H33" s="1815">
        <v>4864545</v>
      </c>
      <c r="I33" s="531"/>
      <c r="J33" s="1799"/>
      <c r="K33" s="927"/>
    </row>
    <row r="34" spans="1:10" s="518" customFormat="1" ht="24.75" customHeight="1">
      <c r="A34" s="764" t="s">
        <v>448</v>
      </c>
      <c r="B34" s="765">
        <v>36480</v>
      </c>
      <c r="C34" s="765">
        <v>36480</v>
      </c>
      <c r="D34" s="765">
        <f>36480-1140</f>
        <v>35340</v>
      </c>
      <c r="E34" s="765">
        <f>36480-1140+30780</f>
        <v>66120</v>
      </c>
      <c r="F34" s="765">
        <v>66120</v>
      </c>
      <c r="G34" s="765">
        <v>57000</v>
      </c>
      <c r="H34" s="765">
        <v>57000</v>
      </c>
      <c r="I34" s="765"/>
      <c r="J34" s="1563">
        <f aca="true" t="shared" si="4" ref="J34:J47">SUM(H34-F34)</f>
        <v>-9120</v>
      </c>
    </row>
    <row r="35" spans="1:10" s="518" customFormat="1" ht="24.75" customHeight="1" thickBot="1">
      <c r="A35" s="556" t="s">
        <v>330</v>
      </c>
      <c r="B35" s="557">
        <f aca="true" t="shared" si="5" ref="B35:H35">SUM(B32:B34)</f>
        <v>19151279</v>
      </c>
      <c r="C35" s="557">
        <f t="shared" si="5"/>
        <v>19151279</v>
      </c>
      <c r="D35" s="557">
        <f t="shared" si="5"/>
        <v>17475131</v>
      </c>
      <c r="E35" s="557">
        <f t="shared" si="5"/>
        <v>17712665</v>
      </c>
      <c r="F35" s="557">
        <f t="shared" si="5"/>
        <v>17712665</v>
      </c>
      <c r="G35" s="557">
        <f t="shared" si="5"/>
        <v>17791545</v>
      </c>
      <c r="H35" s="557">
        <f t="shared" si="5"/>
        <v>17791545</v>
      </c>
      <c r="I35" s="557">
        <f>SUM(I32:I33)</f>
        <v>0</v>
      </c>
      <c r="J35" s="1563">
        <f t="shared" si="4"/>
        <v>78880</v>
      </c>
    </row>
    <row r="36" spans="1:10" s="1681" customFormat="1" ht="24.75" customHeight="1" thickBot="1">
      <c r="A36" s="1678" t="s">
        <v>646</v>
      </c>
      <c r="B36" s="1679"/>
      <c r="C36" s="1679"/>
      <c r="D36" s="1679">
        <v>1010240</v>
      </c>
      <c r="E36" s="1679">
        <v>1010240</v>
      </c>
      <c r="F36" s="1679">
        <v>1010240</v>
      </c>
      <c r="G36" s="1679">
        <v>1029600</v>
      </c>
      <c r="H36" s="1679">
        <v>1029600</v>
      </c>
      <c r="I36" s="1679"/>
      <c r="J36" s="1673">
        <f t="shared" si="4"/>
        <v>19360</v>
      </c>
    </row>
    <row r="37" spans="1:10" s="518" customFormat="1" ht="24.75" customHeight="1" thickBot="1">
      <c r="A37" s="743" t="s">
        <v>643</v>
      </c>
      <c r="B37" s="744">
        <v>8979000</v>
      </c>
      <c r="C37" s="744">
        <v>8979000</v>
      </c>
      <c r="D37" s="744">
        <v>8979000</v>
      </c>
      <c r="E37" s="744">
        <v>8979000</v>
      </c>
      <c r="F37" s="744">
        <v>8979000</v>
      </c>
      <c r="G37" s="744">
        <v>8979000</v>
      </c>
      <c r="H37" s="744">
        <v>8979000</v>
      </c>
      <c r="I37" s="744"/>
      <c r="J37" s="1563">
        <f t="shared" si="4"/>
        <v>0</v>
      </c>
    </row>
    <row r="38" spans="1:12" s="518" customFormat="1" ht="24.75" customHeight="1" thickBot="1">
      <c r="A38" s="743" t="s">
        <v>644</v>
      </c>
      <c r="B38" s="744">
        <v>3664000</v>
      </c>
      <c r="C38" s="744">
        <v>3664000</v>
      </c>
      <c r="D38" s="744">
        <v>3664000</v>
      </c>
      <c r="E38" s="744">
        <f>3664000-20000</f>
        <v>3644000</v>
      </c>
      <c r="F38" s="744">
        <v>3644000</v>
      </c>
      <c r="G38" s="744">
        <v>3644000</v>
      </c>
      <c r="H38" s="744">
        <v>3644000</v>
      </c>
      <c r="I38" s="744"/>
      <c r="J38" s="1563">
        <f t="shared" si="4"/>
        <v>0</v>
      </c>
      <c r="K38" s="927"/>
      <c r="L38" s="927">
        <f>SUM(F37:F38)</f>
        <v>12623000</v>
      </c>
    </row>
    <row r="39" spans="1:12" s="1681" customFormat="1" ht="24.75" customHeight="1" thickBot="1">
      <c r="A39" s="1678" t="s">
        <v>642</v>
      </c>
      <c r="B39" s="1679"/>
      <c r="C39" s="1679"/>
      <c r="D39" s="1679">
        <f>345000+1458000</f>
        <v>1803000</v>
      </c>
      <c r="E39" s="1679">
        <f>345000+1458000</f>
        <v>1803000</v>
      </c>
      <c r="F39" s="1679">
        <v>1803000</v>
      </c>
      <c r="G39" s="1679">
        <v>1803000</v>
      </c>
      <c r="H39" s="1679">
        <v>1803000</v>
      </c>
      <c r="I39" s="1679"/>
      <c r="J39" s="1673">
        <f t="shared" si="4"/>
        <v>0</v>
      </c>
      <c r="L39" s="1670"/>
    </row>
    <row r="40" spans="1:12" s="519" customFormat="1" ht="24.75" customHeight="1" thickBot="1">
      <c r="A40" s="516" t="s">
        <v>333</v>
      </c>
      <c r="B40" s="529">
        <f>B20+B30+B35+B37+B38</f>
        <v>152536839</v>
      </c>
      <c r="C40" s="529">
        <f>C20+C30+C35+C37+C38+C39</f>
        <v>152536839</v>
      </c>
      <c r="D40" s="529">
        <f>D20+D30+D35+D37+D38+D39+D31+D36</f>
        <v>160292711</v>
      </c>
      <c r="E40" s="529">
        <f>E20+E30+E35+E37+E38+E39+E31+E36</f>
        <v>156327245</v>
      </c>
      <c r="F40" s="529">
        <f>F20+F30+F35+F37+F38+F39+F31+F36</f>
        <v>156327245</v>
      </c>
      <c r="G40" s="529">
        <f>G20+G30+G35+G37+G38+G39+G31+G36</f>
        <v>159597077</v>
      </c>
      <c r="H40" s="529">
        <f>H20+H30+H35+H37+H38+H39+H31+H36</f>
        <v>159597077</v>
      </c>
      <c r="I40" s="529">
        <f>I20+I30+I35+I37</f>
        <v>0</v>
      </c>
      <c r="J40" s="1684">
        <f t="shared" si="4"/>
        <v>3269832</v>
      </c>
      <c r="K40" s="983"/>
      <c r="L40" s="983"/>
    </row>
    <row r="41" spans="1:11" s="518" customFormat="1" ht="24.75" customHeight="1" thickBot="1">
      <c r="A41" s="520" t="s">
        <v>334</v>
      </c>
      <c r="B41" s="532">
        <v>3228831</v>
      </c>
      <c r="C41" s="532">
        <v>3228831</v>
      </c>
      <c r="D41" s="532">
        <v>3228831</v>
      </c>
      <c r="E41" s="532">
        <v>3228831</v>
      </c>
      <c r="F41" s="532">
        <v>3228831</v>
      </c>
      <c r="G41" s="532">
        <v>3228831</v>
      </c>
      <c r="H41" s="532">
        <v>3228831</v>
      </c>
      <c r="I41" s="532"/>
      <c r="J41" s="1684">
        <f t="shared" si="4"/>
        <v>0</v>
      </c>
      <c r="K41" s="927"/>
    </row>
    <row r="42" spans="1:10" s="1661" customFormat="1" ht="24.75" customHeight="1">
      <c r="A42" s="1663" t="s">
        <v>645</v>
      </c>
      <c r="B42" s="1662"/>
      <c r="C42" s="1662"/>
      <c r="D42" s="1662">
        <v>1109830</v>
      </c>
      <c r="E42" s="1662">
        <v>1109830</v>
      </c>
      <c r="F42" s="1662">
        <v>1109830</v>
      </c>
      <c r="G42" s="1662">
        <v>1109830</v>
      </c>
      <c r="H42" s="1662">
        <v>1109830</v>
      </c>
      <c r="I42" s="1662"/>
      <c r="J42" s="1673">
        <f t="shared" si="4"/>
        <v>0</v>
      </c>
    </row>
    <row r="43" spans="1:11" s="518" customFormat="1" ht="24.75" customHeight="1">
      <c r="A43" s="1151" t="s">
        <v>647</v>
      </c>
      <c r="B43" s="1150"/>
      <c r="C43" s="1150"/>
      <c r="D43" s="1150">
        <v>80000</v>
      </c>
      <c r="E43" s="1150">
        <v>80000</v>
      </c>
      <c r="F43" s="1150">
        <v>80000</v>
      </c>
      <c r="G43" s="1150">
        <v>80000</v>
      </c>
      <c r="H43" s="1150">
        <v>80000</v>
      </c>
      <c r="I43" s="1150"/>
      <c r="J43" s="1684">
        <f t="shared" si="4"/>
        <v>0</v>
      </c>
      <c r="K43" s="927"/>
    </row>
    <row r="44" spans="1:10" ht="24.75" customHeight="1">
      <c r="A44" s="923" t="s">
        <v>566</v>
      </c>
      <c r="B44" s="533"/>
      <c r="C44" s="533">
        <v>494445</v>
      </c>
      <c r="D44" s="533">
        <f>494445+311215</f>
        <v>805660</v>
      </c>
      <c r="E44" s="533">
        <f>494445+311215+280810+90320</f>
        <v>1176790</v>
      </c>
      <c r="F44" s="533">
        <v>1176790</v>
      </c>
      <c r="G44" s="533">
        <v>1176790</v>
      </c>
      <c r="H44" s="533">
        <v>1176790</v>
      </c>
      <c r="I44" s="533"/>
      <c r="J44" s="1684">
        <f t="shared" si="4"/>
        <v>0</v>
      </c>
    </row>
    <row r="45" spans="1:10" ht="24.75" customHeight="1">
      <c r="A45" s="513" t="s">
        <v>636</v>
      </c>
      <c r="B45" s="534"/>
      <c r="C45" s="534">
        <v>375300</v>
      </c>
      <c r="D45" s="534">
        <f>375300+102985</f>
        <v>478285</v>
      </c>
      <c r="E45" s="534">
        <f>375300+102985+51050+153154</f>
        <v>682489</v>
      </c>
      <c r="F45" s="534">
        <v>682489</v>
      </c>
      <c r="G45" s="534">
        <v>682489</v>
      </c>
      <c r="H45" s="534">
        <v>682489</v>
      </c>
      <c r="I45" s="534"/>
      <c r="J45" s="1684">
        <f t="shared" si="4"/>
        <v>0</v>
      </c>
    </row>
    <row r="46" spans="1:10" ht="24.75" customHeight="1">
      <c r="A46" s="513" t="s">
        <v>437</v>
      </c>
      <c r="B46" s="534"/>
      <c r="C46" s="534">
        <v>10995306</v>
      </c>
      <c r="D46" s="534">
        <f>10995306+3985979</f>
        <v>14981285</v>
      </c>
      <c r="E46" s="534">
        <f>10995306+3985979+1684234+5226368</f>
        <v>21891887</v>
      </c>
      <c r="F46" s="534">
        <v>21891887</v>
      </c>
      <c r="G46" s="534">
        <v>21891887</v>
      </c>
      <c r="H46" s="534">
        <v>21891887</v>
      </c>
      <c r="I46" s="534"/>
      <c r="J46" s="1684">
        <f t="shared" si="4"/>
        <v>0</v>
      </c>
    </row>
    <row r="47" spans="1:10" ht="24.75" customHeight="1">
      <c r="A47" s="513" t="s">
        <v>673</v>
      </c>
      <c r="B47" s="534"/>
      <c r="C47" s="534"/>
      <c r="D47" s="534"/>
      <c r="E47" s="534">
        <v>1714500</v>
      </c>
      <c r="F47" s="534">
        <v>1714500</v>
      </c>
      <c r="G47" s="534">
        <v>1714500</v>
      </c>
      <c r="H47" s="534">
        <v>1714500</v>
      </c>
      <c r="I47" s="534"/>
      <c r="J47" s="1684">
        <f t="shared" si="4"/>
        <v>0</v>
      </c>
    </row>
    <row r="48" spans="1:12" s="522" customFormat="1" ht="26.25" customHeight="1" thickBot="1">
      <c r="A48" s="521" t="s">
        <v>24</v>
      </c>
      <c r="B48" s="535">
        <f>B15+B19+B40+B41</f>
        <v>294726379</v>
      </c>
      <c r="C48" s="535">
        <f>C15+C19+C40+C41+C44+C45+C46</f>
        <v>306591430</v>
      </c>
      <c r="D48" s="535">
        <f>D15+D19+D40+D41+D44+D45+D46+D42+D43</f>
        <v>323765090</v>
      </c>
      <c r="E48" s="535">
        <f aca="true" t="shared" si="6" ref="E48:J48">E15+E19+E40+E41+E44+E45+E46+E42+E43+E47</f>
        <v>330079610</v>
      </c>
      <c r="F48" s="535">
        <f t="shared" si="6"/>
        <v>330079610</v>
      </c>
      <c r="G48" s="535">
        <f t="shared" si="6"/>
        <v>332452762</v>
      </c>
      <c r="H48" s="535">
        <f t="shared" si="6"/>
        <v>332452762</v>
      </c>
      <c r="I48" s="535">
        <f t="shared" si="6"/>
        <v>0</v>
      </c>
      <c r="J48" s="535">
        <f t="shared" si="6"/>
        <v>2373152</v>
      </c>
      <c r="K48" s="928"/>
      <c r="L48" s="928"/>
    </row>
    <row r="49" ht="15" hidden="1">
      <c r="B49" s="768">
        <f>'3.sz.m Önk  bev.'!E33</f>
        <v>294726379</v>
      </c>
    </row>
    <row r="50" spans="1:11" ht="15" hidden="1">
      <c r="A50" s="523"/>
      <c r="B50" s="768">
        <f>B48-B49</f>
        <v>0</v>
      </c>
      <c r="J50" s="1682">
        <f>SUM(J17+J30+J32+J34)</f>
        <v>-2452903</v>
      </c>
      <c r="K50" s="503" t="s">
        <v>1015</v>
      </c>
    </row>
    <row r="51" spans="2:11" ht="15" hidden="1">
      <c r="B51" s="768"/>
      <c r="C51" s="768"/>
      <c r="D51" s="768"/>
      <c r="E51" s="768">
        <f>+'1.sz.m-önk.össze.bev'!H35+'1.sz.m-önk.össze.bev'!H36</f>
        <v>330079610</v>
      </c>
      <c r="F51" s="1664">
        <f>SUM(F42+F39+F36+F31+F18+F14)</f>
        <v>17501829</v>
      </c>
      <c r="G51" s="1661" t="s">
        <v>1011</v>
      </c>
      <c r="J51" s="1683">
        <f>SUM(J42+J39+J36+J31+J18+J14)</f>
        <v>-38490</v>
      </c>
      <c r="K51" s="503" t="s">
        <v>1014</v>
      </c>
    </row>
    <row r="52" spans="2:11" ht="15" hidden="1">
      <c r="B52" s="768"/>
      <c r="D52" s="768"/>
      <c r="E52" s="768">
        <f>+E51-E48</f>
        <v>0</v>
      </c>
      <c r="F52" s="1665">
        <v>-16043829</v>
      </c>
      <c r="G52" s="768" t="s">
        <v>1012</v>
      </c>
      <c r="J52" s="1682">
        <f>SUM(J50:J51)</f>
        <v>-2491393</v>
      </c>
      <c r="K52" s="503" t="s">
        <v>1016</v>
      </c>
    </row>
    <row r="53" spans="2:7" ht="15" hidden="1">
      <c r="B53" s="768" t="s">
        <v>1003</v>
      </c>
      <c r="C53" s="768"/>
      <c r="D53" s="768" t="s">
        <v>997</v>
      </c>
      <c r="E53" s="503">
        <v>622616</v>
      </c>
      <c r="F53" s="768">
        <f>SUM(F51:F52)</f>
        <v>1458000</v>
      </c>
      <c r="G53" s="768" t="s">
        <v>1013</v>
      </c>
    </row>
    <row r="54" ht="15" hidden="1">
      <c r="E54" s="768">
        <f>SUM(E51:E53)</f>
        <v>330702226</v>
      </c>
    </row>
    <row r="55" ht="15">
      <c r="D55" s="76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colBreaks count="1" manualBreakCount="1">
    <brk id="10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A11" sqref="A11"/>
    </sheetView>
  </sheetViews>
  <sheetFormatPr defaultColWidth="9.140625" defaultRowHeight="12.75"/>
  <cols>
    <col min="1" max="1" width="32.140625" style="727" customWidth="1"/>
    <col min="2" max="2" width="18.28125" style="728" customWidth="1"/>
    <col min="3" max="7" width="14.28125" style="728" customWidth="1"/>
    <col min="8" max="8" width="13.57421875" style="728" customWidth="1"/>
    <col min="9" max="16384" width="9.140625" style="728" customWidth="1"/>
  </cols>
  <sheetData>
    <row r="1" spans="6:7" ht="15">
      <c r="F1" s="2108" t="s">
        <v>980</v>
      </c>
      <c r="G1" s="2108"/>
    </row>
    <row r="2" spans="1:7" ht="24.75" customHeight="1">
      <c r="A2" s="2109" t="s">
        <v>415</v>
      </c>
      <c r="B2" s="2109"/>
      <c r="C2" s="2109"/>
      <c r="D2" s="2109"/>
      <c r="E2" s="2109"/>
      <c r="F2" s="2109"/>
      <c r="G2" s="2109"/>
    </row>
    <row r="3" spans="1:7" ht="18.75" customHeight="1">
      <c r="A3" s="2110" t="s">
        <v>560</v>
      </c>
      <c r="B3" s="2110"/>
      <c r="C3" s="2110"/>
      <c r="D3" s="2110"/>
      <c r="E3" s="2110"/>
      <c r="F3" s="2110"/>
      <c r="G3" s="2110"/>
    </row>
    <row r="4" spans="1:7" ht="24.75" customHeight="1">
      <c r="A4" s="2111" t="s">
        <v>416</v>
      </c>
      <c r="B4" s="2111"/>
      <c r="C4" s="2111"/>
      <c r="D4" s="2111"/>
      <c r="E4" s="2111"/>
      <c r="F4" s="2111"/>
      <c r="G4" s="2111"/>
    </row>
    <row r="5" spans="1:7" ht="15.75" thickBot="1">
      <c r="A5" s="1113"/>
      <c r="B5" s="929"/>
      <c r="C5" s="929"/>
      <c r="D5" s="929"/>
      <c r="E5" s="929"/>
      <c r="F5" s="929"/>
      <c r="G5" s="1114" t="s">
        <v>445</v>
      </c>
    </row>
    <row r="6" spans="1:7" ht="24.75" customHeight="1">
      <c r="A6" s="2112" t="s">
        <v>417</v>
      </c>
      <c r="B6" s="2114" t="s">
        <v>418</v>
      </c>
      <c r="C6" s="2114"/>
      <c r="D6" s="2114"/>
      <c r="E6" s="2115" t="s">
        <v>419</v>
      </c>
      <c r="F6" s="2114"/>
      <c r="G6" s="2116"/>
    </row>
    <row r="7" spans="1:7" ht="24.75" customHeight="1" thickBot="1">
      <c r="A7" s="2113"/>
      <c r="B7" s="1115" t="s">
        <v>420</v>
      </c>
      <c r="C7" s="1115" t="s">
        <v>421</v>
      </c>
      <c r="D7" s="1115" t="s">
        <v>422</v>
      </c>
      <c r="E7" s="1116" t="s">
        <v>420</v>
      </c>
      <c r="F7" s="1115" t="s">
        <v>423</v>
      </c>
      <c r="G7" s="1117" t="s">
        <v>422</v>
      </c>
    </row>
    <row r="8" spans="1:7" ht="33.75" customHeight="1">
      <c r="A8" s="1118" t="s">
        <v>258</v>
      </c>
      <c r="B8" s="1119"/>
      <c r="C8" s="1119">
        <v>26815579</v>
      </c>
      <c r="D8" s="1119">
        <f>SUM(B8:C8)</f>
        <v>26815579</v>
      </c>
      <c r="E8" s="1120">
        <v>2247350</v>
      </c>
      <c r="F8" s="1120">
        <v>20203418</v>
      </c>
      <c r="G8" s="1121">
        <f>SUM(E8:F8)</f>
        <v>22450768</v>
      </c>
    </row>
    <row r="9" spans="1:7" ht="33.75" customHeight="1">
      <c r="A9" s="1122" t="s">
        <v>424</v>
      </c>
      <c r="B9" s="1123"/>
      <c r="C9" s="1123"/>
      <c r="D9" s="1119">
        <f>SUM(B9:C9)</f>
        <v>0</v>
      </c>
      <c r="E9" s="1124"/>
      <c r="F9" s="1124"/>
      <c r="G9" s="1121">
        <f>SUM(E9:F9)</f>
        <v>0</v>
      </c>
    </row>
    <row r="10" spans="1:7" ht="33.75" customHeight="1" hidden="1">
      <c r="A10" s="1122" t="s">
        <v>425</v>
      </c>
      <c r="B10" s="1123">
        <v>0</v>
      </c>
      <c r="C10" s="1123"/>
      <c r="D10" s="1119">
        <f>SUM(B10:C10)</f>
        <v>0</v>
      </c>
      <c r="E10" s="1124"/>
      <c r="F10" s="1124"/>
      <c r="G10" s="1121">
        <f>SUM(E10:F10)</f>
        <v>0</v>
      </c>
    </row>
    <row r="11" spans="1:7" ht="33.75" customHeight="1">
      <c r="A11" s="1125" t="s">
        <v>259</v>
      </c>
      <c r="B11" s="1126"/>
      <c r="C11" s="1126"/>
      <c r="D11" s="1119">
        <f>SUM(B11:C11)</f>
        <v>0</v>
      </c>
      <c r="E11" s="1127"/>
      <c r="F11" s="1127"/>
      <c r="G11" s="1121">
        <f>SUM(E11:F11)</f>
        <v>0</v>
      </c>
    </row>
    <row r="12" spans="1:7" ht="33.75" customHeight="1" thickBot="1">
      <c r="A12" s="1128" t="s">
        <v>260</v>
      </c>
      <c r="B12" s="1129"/>
      <c r="C12" s="1129"/>
      <c r="D12" s="1129">
        <f>SUM(B12:C12)</f>
        <v>0</v>
      </c>
      <c r="E12" s="1130"/>
      <c r="F12" s="1130"/>
      <c r="G12" s="1131">
        <f>SUM(E12:F12)</f>
        <v>0</v>
      </c>
    </row>
    <row r="13" spans="1:7" ht="33.75" customHeight="1" thickBot="1">
      <c r="A13" s="1132" t="s">
        <v>1</v>
      </c>
      <c r="B13" s="1133">
        <f aca="true" t="shared" si="0" ref="B13:G13">SUM(B8:B12)</f>
        <v>0</v>
      </c>
      <c r="C13" s="1133">
        <f t="shared" si="0"/>
        <v>26815579</v>
      </c>
      <c r="D13" s="1133">
        <f t="shared" si="0"/>
        <v>26815579</v>
      </c>
      <c r="E13" s="1133">
        <f t="shared" si="0"/>
        <v>2247350</v>
      </c>
      <c r="F13" s="1133">
        <f t="shared" si="0"/>
        <v>20203418</v>
      </c>
      <c r="G13" s="1134">
        <f t="shared" si="0"/>
        <v>22450768</v>
      </c>
    </row>
    <row r="14" spans="2:7" ht="15">
      <c r="B14" s="929"/>
      <c r="C14" s="929"/>
      <c r="D14" s="929"/>
      <c r="E14" s="929"/>
      <c r="F14" s="929"/>
      <c r="G14" s="929"/>
    </row>
    <row r="15" spans="1:7" ht="28.5" customHeight="1">
      <c r="A15" s="2117" t="s">
        <v>426</v>
      </c>
      <c r="B15" s="2117"/>
      <c r="C15" s="2117"/>
      <c r="D15" s="2117"/>
      <c r="E15" s="2117"/>
      <c r="F15" s="2117"/>
      <c r="G15" s="2117"/>
    </row>
    <row r="16" ht="15.75" thickBot="1">
      <c r="E16" s="729"/>
    </row>
    <row r="17" spans="2:4" ht="19.5" customHeight="1">
      <c r="B17" s="2118" t="s">
        <v>243</v>
      </c>
      <c r="C17" s="2120" t="s">
        <v>427</v>
      </c>
      <c r="D17" s="2121"/>
    </row>
    <row r="18" spans="2:4" ht="30" customHeight="1" thickBot="1">
      <c r="B18" s="2119"/>
      <c r="C18" s="2122"/>
      <c r="D18" s="2123"/>
    </row>
    <row r="19" spans="2:4" ht="29.25" customHeight="1">
      <c r="B19" s="730" t="s">
        <v>428</v>
      </c>
      <c r="C19" s="2124">
        <v>5905885</v>
      </c>
      <c r="D19" s="2125"/>
    </row>
    <row r="20" spans="2:4" ht="28.5" customHeight="1" hidden="1" thickBot="1">
      <c r="B20" s="731" t="s">
        <v>429</v>
      </c>
      <c r="C20" s="2126"/>
      <c r="D20" s="2127"/>
    </row>
    <row r="21" spans="2:4" s="733" customFormat="1" ht="27.75" customHeight="1" thickBot="1">
      <c r="B21" s="732" t="s">
        <v>1</v>
      </c>
      <c r="C21" s="2128">
        <f>SUM(C19:D20)</f>
        <v>5905885</v>
      </c>
      <c r="D21" s="2129"/>
    </row>
  </sheetData>
  <sheetProtection/>
  <mergeCells count="13">
    <mergeCell ref="A15:G15"/>
    <mergeCell ref="B17:B18"/>
    <mergeCell ref="C17:D18"/>
    <mergeCell ref="C19:D19"/>
    <mergeCell ref="C20:D20"/>
    <mergeCell ref="C21:D21"/>
    <mergeCell ref="F1:G1"/>
    <mergeCell ref="A2:G2"/>
    <mergeCell ref="A3:G3"/>
    <mergeCell ref="A4:G4"/>
    <mergeCell ref="A6:A7"/>
    <mergeCell ref="B6:D6"/>
    <mergeCell ref="E6:G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="6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5.8515625" style="1013" customWidth="1"/>
    <col min="2" max="2" width="42.57421875" style="1012" customWidth="1"/>
    <col min="3" max="8" width="11.00390625" style="1012" customWidth="1"/>
    <col min="9" max="9" width="12.28125" style="1012" customWidth="1"/>
    <col min="10" max="10" width="2.8515625" style="1012" customWidth="1"/>
    <col min="11" max="16384" width="9.140625" style="1012" customWidth="1"/>
  </cols>
  <sheetData>
    <row r="1" spans="1:9" ht="27.75" customHeight="1">
      <c r="A1" s="2133" t="s">
        <v>541</v>
      </c>
      <c r="B1" s="2133"/>
      <c r="C1" s="2133"/>
      <c r="D1" s="2133"/>
      <c r="E1" s="2133"/>
      <c r="F1" s="2133"/>
      <c r="G1" s="2133"/>
      <c r="H1" s="2133"/>
      <c r="I1" s="2133"/>
    </row>
    <row r="2" ht="20.25" customHeight="1" thickBot="1">
      <c r="I2" s="1014" t="str">
        <f>'[1]1. sz tájékoztató t.'!E2</f>
        <v>Forintban!</v>
      </c>
    </row>
    <row r="3" spans="1:9" s="1015" customFormat="1" ht="26.25" customHeight="1">
      <c r="A3" s="2134" t="s">
        <v>542</v>
      </c>
      <c r="B3" s="2136" t="s">
        <v>543</v>
      </c>
      <c r="C3" s="2134" t="s">
        <v>544</v>
      </c>
      <c r="D3" s="2138" t="s">
        <v>599</v>
      </c>
      <c r="E3" s="2140" t="s">
        <v>545</v>
      </c>
      <c r="F3" s="2141"/>
      <c r="G3" s="2141"/>
      <c r="H3" s="2142"/>
      <c r="I3" s="2136" t="s">
        <v>1</v>
      </c>
    </row>
    <row r="4" spans="1:9" s="1018" customFormat="1" ht="32.25" customHeight="1" thickBot="1">
      <c r="A4" s="2135"/>
      <c r="B4" s="2137"/>
      <c r="C4" s="2137"/>
      <c r="D4" s="2139"/>
      <c r="E4" s="1016" t="s">
        <v>560</v>
      </c>
      <c r="F4" s="1016" t="s">
        <v>579</v>
      </c>
      <c r="G4" s="1016" t="s">
        <v>626</v>
      </c>
      <c r="H4" s="1017" t="s">
        <v>627</v>
      </c>
      <c r="I4" s="2137"/>
    </row>
    <row r="5" spans="1:9" s="1024" customFormat="1" ht="12.75" customHeight="1" thickBot="1">
      <c r="A5" s="1019" t="s">
        <v>546</v>
      </c>
      <c r="B5" s="1020" t="s">
        <v>14</v>
      </c>
      <c r="C5" s="1021" t="s">
        <v>547</v>
      </c>
      <c r="D5" s="1020" t="s">
        <v>548</v>
      </c>
      <c r="E5" s="1019" t="s">
        <v>549</v>
      </c>
      <c r="F5" s="1021" t="s">
        <v>15</v>
      </c>
      <c r="G5" s="1021" t="s">
        <v>550</v>
      </c>
      <c r="H5" s="1022" t="s">
        <v>534</v>
      </c>
      <c r="I5" s="1023" t="s">
        <v>551</v>
      </c>
    </row>
    <row r="6" spans="1:9" ht="24.75" customHeight="1" thickBot="1">
      <c r="A6" s="1025" t="s">
        <v>26</v>
      </c>
      <c r="B6" s="1025" t="s">
        <v>552</v>
      </c>
      <c r="C6" s="1026"/>
      <c r="D6" s="1027">
        <f>+D7+D8</f>
        <v>0</v>
      </c>
      <c r="E6" s="1028">
        <f>+E7+E8</f>
        <v>0</v>
      </c>
      <c r="F6" s="1029">
        <f>+F7+F8</f>
        <v>0</v>
      </c>
      <c r="G6" s="1029">
        <f>+G7+G8</f>
        <v>0</v>
      </c>
      <c r="H6" s="1030">
        <f>+H7+H8</f>
        <v>0</v>
      </c>
      <c r="I6" s="1031">
        <f aca="true" t="shared" si="0" ref="I6:I29">SUM(D6:H6)</f>
        <v>0</v>
      </c>
    </row>
    <row r="7" spans="1:10" ht="19.5" customHeight="1">
      <c r="A7" s="1032" t="s">
        <v>27</v>
      </c>
      <c r="B7" s="1032" t="s">
        <v>553</v>
      </c>
      <c r="C7" s="1033"/>
      <c r="D7" s="1034"/>
      <c r="E7" s="1035"/>
      <c r="F7" s="1036"/>
      <c r="G7" s="1036"/>
      <c r="H7" s="1037"/>
      <c r="I7" s="1038">
        <f t="shared" si="0"/>
        <v>0</v>
      </c>
      <c r="J7" s="2130"/>
    </row>
    <row r="8" spans="1:10" ht="19.5" customHeight="1" thickBot="1">
      <c r="A8" s="1032" t="s">
        <v>9</v>
      </c>
      <c r="B8" s="1032" t="s">
        <v>553</v>
      </c>
      <c r="C8" s="1033"/>
      <c r="D8" s="1034"/>
      <c r="E8" s="1035"/>
      <c r="F8" s="1036"/>
      <c r="G8" s="1036"/>
      <c r="H8" s="1037"/>
      <c r="I8" s="1038">
        <f t="shared" si="0"/>
        <v>0</v>
      </c>
      <c r="J8" s="2130"/>
    </row>
    <row r="9" spans="1:10" ht="25.5" customHeight="1" thickBot="1">
      <c r="A9" s="1025" t="s">
        <v>10</v>
      </c>
      <c r="B9" s="1025" t="s">
        <v>554</v>
      </c>
      <c r="C9" s="1026"/>
      <c r="D9" s="1027">
        <f>+D10+D11</f>
        <v>0</v>
      </c>
      <c r="E9" s="1028">
        <f>+E10+E11</f>
        <v>0</v>
      </c>
      <c r="F9" s="1029">
        <f>+F10+F11</f>
        <v>0</v>
      </c>
      <c r="G9" s="1029">
        <f>+G10+G11</f>
        <v>0</v>
      </c>
      <c r="H9" s="1030">
        <f>+H10+H11</f>
        <v>0</v>
      </c>
      <c r="I9" s="1031">
        <f t="shared" si="0"/>
        <v>0</v>
      </c>
      <c r="J9" s="2130"/>
    </row>
    <row r="10" spans="1:10" ht="19.5" customHeight="1">
      <c r="A10" s="1032" t="s">
        <v>11</v>
      </c>
      <c r="B10" s="1032" t="s">
        <v>562</v>
      </c>
      <c r="C10" s="1033"/>
      <c r="D10" s="1034"/>
      <c r="E10" s="1035"/>
      <c r="F10" s="1036">
        <f>+'[4]11. sz adósság kötelezettség'!D7</f>
        <v>0</v>
      </c>
      <c r="G10" s="1036"/>
      <c r="H10" s="1037"/>
      <c r="I10" s="1038">
        <f t="shared" si="0"/>
        <v>0</v>
      </c>
      <c r="J10" s="2130"/>
    </row>
    <row r="11" spans="1:10" ht="19.5" customHeight="1" thickBot="1">
      <c r="A11" s="1032" t="s">
        <v>12</v>
      </c>
      <c r="B11" s="1032" t="s">
        <v>553</v>
      </c>
      <c r="C11" s="1033"/>
      <c r="D11" s="1034"/>
      <c r="E11" s="1035"/>
      <c r="F11" s="1036"/>
      <c r="G11" s="1036"/>
      <c r="H11" s="1037"/>
      <c r="I11" s="1038">
        <f t="shared" si="0"/>
        <v>0</v>
      </c>
      <c r="J11" s="2130"/>
    </row>
    <row r="12" spans="1:10" ht="19.5" customHeight="1" thickBot="1">
      <c r="A12" s="1025" t="s">
        <v>13</v>
      </c>
      <c r="B12" s="1025" t="s">
        <v>555</v>
      </c>
      <c r="C12" s="1026"/>
      <c r="D12" s="1027">
        <f>SUM(D13:D16)</f>
        <v>808000</v>
      </c>
      <c r="E12" s="1028">
        <f>SUM(E13:E19)</f>
        <v>52117829</v>
      </c>
      <c r="F12" s="1029">
        <f>SUM(F13:F19)</f>
        <v>15398724</v>
      </c>
      <c r="G12" s="1029">
        <f>SUM(G13:G17)</f>
        <v>0</v>
      </c>
      <c r="H12" s="1030">
        <f>SUM(H13:H17)</f>
        <v>0</v>
      </c>
      <c r="I12" s="1031">
        <f>SUM(D12:H12)</f>
        <v>68324553</v>
      </c>
      <c r="J12" s="2130"/>
    </row>
    <row r="13" spans="1:10" ht="79.5" customHeight="1">
      <c r="A13" s="1039" t="s">
        <v>56</v>
      </c>
      <c r="B13" s="1032" t="str">
        <f>+'6.a.sz.m.fejlesztés (4)'!B11</f>
        <v>Magyar Falu Program -  vicai faluház újraépítése</v>
      </c>
      <c r="C13" s="1046" t="s">
        <v>628</v>
      </c>
      <c r="D13" s="1034">
        <v>808000</v>
      </c>
      <c r="E13" s="1035">
        <f>+'6.a.sz.m.fejlesztés (4)'!F11</f>
        <v>24726255</v>
      </c>
      <c r="F13" s="1042"/>
      <c r="G13" s="1042"/>
      <c r="H13" s="1043"/>
      <c r="I13" s="1044">
        <f t="shared" si="0"/>
        <v>25534255</v>
      </c>
      <c r="J13" s="2130"/>
    </row>
    <row r="14" spans="1:10" ht="13.5" thickBot="1">
      <c r="A14" s="1045" t="s">
        <v>57</v>
      </c>
      <c r="B14" s="1045" t="s">
        <v>1019</v>
      </c>
      <c r="C14" s="1046" t="s">
        <v>674</v>
      </c>
      <c r="D14" s="1047"/>
      <c r="E14" s="1048">
        <v>3300871</v>
      </c>
      <c r="F14" s="1049">
        <v>2540000</v>
      </c>
      <c r="G14" s="1049"/>
      <c r="H14" s="1050"/>
      <c r="I14" s="1038">
        <f t="shared" si="0"/>
        <v>5840871</v>
      </c>
      <c r="J14" s="2130"/>
    </row>
    <row r="15" spans="1:10" ht="12.75">
      <c r="A15" s="1039" t="s">
        <v>384</v>
      </c>
      <c r="B15" s="1032" t="s">
        <v>633</v>
      </c>
      <c r="C15" s="1046">
        <v>2019</v>
      </c>
      <c r="D15" s="1034"/>
      <c r="E15" s="1035">
        <f>+'6.a.sz.m.fejlesztés (4)'!E12</f>
        <v>16732556</v>
      </c>
      <c r="F15" s="1049"/>
      <c r="G15" s="1049"/>
      <c r="H15" s="1050"/>
      <c r="I15" s="1038">
        <f t="shared" si="0"/>
        <v>16732556</v>
      </c>
      <c r="J15" s="2130"/>
    </row>
    <row r="16" spans="1:10" ht="13.5" thickBot="1">
      <c r="A16" s="1045" t="s">
        <v>404</v>
      </c>
      <c r="B16" s="1032" t="str">
        <f>+'6.a.sz.m.fejlesztés (4)'!B16</f>
        <v>MFP- óvodaudvar játékok beszerzése (2020)</v>
      </c>
      <c r="C16" s="1046">
        <v>2020</v>
      </c>
      <c r="D16" s="1034"/>
      <c r="E16" s="1035"/>
      <c r="F16" s="1049">
        <f>+'6.a.sz.m.fejlesztés (4)'!F16</f>
        <v>4999990</v>
      </c>
      <c r="G16" s="1049"/>
      <c r="H16" s="1050"/>
      <c r="I16" s="1038">
        <f t="shared" si="0"/>
        <v>4999990</v>
      </c>
      <c r="J16" s="2130"/>
    </row>
    <row r="17" spans="1:10" ht="12.75">
      <c r="A17" s="1039" t="s">
        <v>405</v>
      </c>
      <c r="B17" s="1032" t="str">
        <f>+'6.a.sz.m.fejlesztés (4)'!B17</f>
        <v>MFP - orvosi eszközök beszerzése (2020)</v>
      </c>
      <c r="C17" s="1046">
        <v>2020</v>
      </c>
      <c r="D17" s="1034"/>
      <c r="E17" s="1035">
        <f>+'6.a.sz.m.fejlesztés (4)'!H17+'6.a.sz.m.fejlesztés (4)'!I17</f>
        <v>295000</v>
      </c>
      <c r="F17" s="1049">
        <v>2163800</v>
      </c>
      <c r="G17" s="1049"/>
      <c r="H17" s="1050"/>
      <c r="I17" s="1038">
        <f t="shared" si="0"/>
        <v>2458800</v>
      </c>
      <c r="J17" s="2130"/>
    </row>
    <row r="18" spans="1:10" ht="13.5" thickBot="1">
      <c r="A18" s="1045" t="s">
        <v>407</v>
      </c>
      <c r="B18" s="1032" t="str">
        <f>+'6.a.sz.m.fejlesztés (4)'!B19</f>
        <v>MFP óvodaudvar - kerítésfelújítás</v>
      </c>
      <c r="C18" s="1046">
        <v>2019</v>
      </c>
      <c r="D18" s="1034"/>
      <c r="E18" s="1049">
        <f>+'6.a.sz.m.fejlesztés (4)'!J19</f>
        <v>7063147</v>
      </c>
      <c r="G18" s="1049"/>
      <c r="H18" s="1050"/>
      <c r="I18" s="1038">
        <f t="shared" si="0"/>
        <v>7063147</v>
      </c>
      <c r="J18" s="2130"/>
    </row>
    <row r="19" spans="1:10" ht="13.5" thickBot="1">
      <c r="A19" s="1039" t="s">
        <v>409</v>
      </c>
      <c r="B19" s="1032" t="str">
        <f>+'6.a.sz.m.fejlesztés (4)'!B20</f>
        <v>Konyha bővítése és eszközbeszerzés</v>
      </c>
      <c r="C19" s="1046">
        <v>2020</v>
      </c>
      <c r="D19" s="1034"/>
      <c r="E19" s="1035"/>
      <c r="F19" s="1051">
        <f>+'6.a.sz.m.fejlesztés (4)'!G20</f>
        <v>5694934</v>
      </c>
      <c r="G19" s="1051"/>
      <c r="H19" s="1052"/>
      <c r="I19" s="1038">
        <f t="shared" si="0"/>
        <v>5694934</v>
      </c>
      <c r="J19" s="2130"/>
    </row>
    <row r="20" spans="1:10" ht="19.5" customHeight="1" thickBot="1">
      <c r="A20" s="1045" t="s">
        <v>411</v>
      </c>
      <c r="B20" s="1025" t="s">
        <v>556</v>
      </c>
      <c r="C20" s="1026"/>
      <c r="D20" s="1053">
        <f>SUM(D21:D23)</f>
        <v>2366900</v>
      </c>
      <c r="E20" s="1053">
        <f>SUM(E21:E26)</f>
        <v>185575201</v>
      </c>
      <c r="F20" s="1053">
        <f>SUM(F21:F26)</f>
        <v>35609199</v>
      </c>
      <c r="G20" s="1054">
        <f>SUM(G21:G23)</f>
        <v>0</v>
      </c>
      <c r="H20" s="1055">
        <f>SUM(H21:H23)</f>
        <v>0</v>
      </c>
      <c r="I20" s="1031">
        <f>SUM(D20:H20)</f>
        <v>223551300</v>
      </c>
      <c r="J20" s="2130"/>
    </row>
    <row r="21" spans="1:10" ht="19.5" customHeight="1">
      <c r="A21" s="1039" t="s">
        <v>557</v>
      </c>
      <c r="B21" s="1056" t="str">
        <f>+'[4]7.a.sz.m.fejlesztés (4)'!B47</f>
        <v>MFP - Egészségház felújítása</v>
      </c>
      <c r="C21" s="1046" t="s">
        <v>628</v>
      </c>
      <c r="D21" s="1057">
        <v>1651000</v>
      </c>
      <c r="E21" s="1053">
        <f>+'6.a.sz.m.fejlesztés (4)'!F30</f>
        <v>94744146</v>
      </c>
      <c r="F21" s="1054">
        <v>609200</v>
      </c>
      <c r="G21" s="1054"/>
      <c r="H21" s="1055"/>
      <c r="I21" s="1038">
        <f t="shared" si="0"/>
        <v>97004346</v>
      </c>
      <c r="J21" s="2130"/>
    </row>
    <row r="22" spans="1:10" ht="19.5" customHeight="1" thickBot="1">
      <c r="A22" s="1045" t="s">
        <v>558</v>
      </c>
      <c r="B22" s="1045" t="str">
        <f>+'[4]7.a.sz.m.fejlesztés (4)'!B49</f>
        <v>MFP útfelújítás</v>
      </c>
      <c r="C22" s="1046" t="s">
        <v>628</v>
      </c>
      <c r="D22" s="1034">
        <v>500000</v>
      </c>
      <c r="E22" s="1035">
        <f>+'6.a.sz.m.fejlesztés (4)'!E31</f>
        <v>56734459</v>
      </c>
      <c r="F22" s="1036"/>
      <c r="G22" s="1036"/>
      <c r="H22" s="1037"/>
      <c r="I22" s="1038">
        <f t="shared" si="0"/>
        <v>57234459</v>
      </c>
      <c r="J22" s="2130"/>
    </row>
    <row r="23" spans="1:10" ht="19.5" customHeight="1">
      <c r="A23" s="1039" t="s">
        <v>676</v>
      </c>
      <c r="B23" s="1045" t="str">
        <f>+'[4]7.a.sz.m.fejlesztés (4)'!B50</f>
        <v>MFP óvodaudvar - kerítésfelújítás</v>
      </c>
      <c r="C23" s="1046" t="s">
        <v>628</v>
      </c>
      <c r="D23" s="1034">
        <v>215900</v>
      </c>
      <c r="E23" s="1035">
        <f>+'6.a.sz.m.fejlesztés (4)'!F32</f>
        <v>6999646</v>
      </c>
      <c r="F23" s="1036"/>
      <c r="G23" s="1036"/>
      <c r="H23" s="1037"/>
      <c r="I23" s="1038">
        <f t="shared" si="0"/>
        <v>7215546</v>
      </c>
      <c r="J23" s="2130"/>
    </row>
    <row r="24" spans="1:10" ht="19.5" customHeight="1" thickBot="1">
      <c r="A24" s="1045" t="s">
        <v>608</v>
      </c>
      <c r="B24" s="1045" t="s">
        <v>607</v>
      </c>
      <c r="C24" s="1046" t="s">
        <v>628</v>
      </c>
      <c r="D24" s="1034"/>
      <c r="E24" s="1035">
        <f>+'6.a.sz.m.fejlesztés (4)'!D33</f>
        <v>26000000</v>
      </c>
      <c r="F24" s="1036"/>
      <c r="G24" s="1036"/>
      <c r="H24" s="1037"/>
      <c r="I24" s="1038">
        <f t="shared" si="0"/>
        <v>26000000</v>
      </c>
      <c r="J24" s="2130"/>
    </row>
    <row r="25" spans="1:10" ht="19.5" customHeight="1">
      <c r="A25" s="1039" t="s">
        <v>677</v>
      </c>
      <c r="B25" s="1045" t="str">
        <f>+'6.a.sz.m.fejlesztés (4)'!B36</f>
        <v>MFP 2020 Művelődési ház felújítása</v>
      </c>
      <c r="C25" s="1046" t="s">
        <v>674</v>
      </c>
      <c r="D25" s="1034"/>
      <c r="E25" s="1035">
        <f>+'6.a.sz.m.fejlesztés (4)'!H36+'6.a.sz.m.fejlesztés (4)'!I36</f>
        <v>996950</v>
      </c>
      <c r="F25" s="1036">
        <f>+'6.a.sz.m.fejlesztés (4)'!G36-E25</f>
        <v>29999999</v>
      </c>
      <c r="G25" s="1036"/>
      <c r="H25" s="1037"/>
      <c r="I25" s="1038">
        <f t="shared" si="0"/>
        <v>30996949</v>
      </c>
      <c r="J25" s="2130"/>
    </row>
    <row r="26" spans="1:10" ht="19.5" customHeight="1" thickBot="1">
      <c r="A26" s="1045" t="s">
        <v>678</v>
      </c>
      <c r="B26" s="1045" t="str">
        <f>+'6.a.sz.m.fejlesztés (4)'!B37</f>
        <v>MFP 2020 Beled temető gyalogjárda felújítása</v>
      </c>
      <c r="C26" s="1046" t="s">
        <v>674</v>
      </c>
      <c r="D26" s="1034"/>
      <c r="E26" s="1035">
        <f>+'6.a.sz.m.fejlesztés (4)'!H37</f>
        <v>100000</v>
      </c>
      <c r="F26" s="1036">
        <f>+'6.a.sz.m.fejlesztés (4)'!G37-E26</f>
        <v>5000000</v>
      </c>
      <c r="G26" s="1036"/>
      <c r="H26" s="1037"/>
      <c r="I26" s="1038">
        <f t="shared" si="0"/>
        <v>5100000</v>
      </c>
      <c r="J26" s="2130"/>
    </row>
    <row r="27" spans="1:10" ht="19.5" customHeight="1" thickBot="1">
      <c r="A27" s="1039" t="s">
        <v>679</v>
      </c>
      <c r="B27" s="1025" t="s">
        <v>559</v>
      </c>
      <c r="C27" s="1026"/>
      <c r="D27" s="1027">
        <f>+D28</f>
        <v>75974857</v>
      </c>
      <c r="E27" s="1028">
        <f>+E28+E29</f>
        <v>18886578</v>
      </c>
      <c r="F27" s="1028">
        <f>+F28+F29</f>
        <v>6333794</v>
      </c>
      <c r="G27" s="1029">
        <f>+G29</f>
        <v>0</v>
      </c>
      <c r="H27" s="1030">
        <f>+H29</f>
        <v>0</v>
      </c>
      <c r="I27" s="1031">
        <f t="shared" si="0"/>
        <v>101195229</v>
      </c>
      <c r="J27" s="2130"/>
    </row>
    <row r="28" spans="1:10" ht="26.25" customHeight="1" thickBot="1">
      <c r="A28" s="1045" t="s">
        <v>680</v>
      </c>
      <c r="B28" s="1032" t="s">
        <v>609</v>
      </c>
      <c r="C28" s="1040" t="s">
        <v>675</v>
      </c>
      <c r="D28" s="1041">
        <f>+'23. sz. m. EU '!H36+'23. sz. m. EU '!I36</f>
        <v>75974857</v>
      </c>
      <c r="E28" s="1058">
        <f>+'23. sz. m. EU '!J36</f>
        <v>18555954</v>
      </c>
      <c r="F28" s="1042">
        <f>SUM('23. sz. m. EU '!K36)</f>
        <v>491006</v>
      </c>
      <c r="G28" s="1042"/>
      <c r="H28" s="1043"/>
      <c r="I28" s="1038">
        <f t="shared" si="0"/>
        <v>95021817</v>
      </c>
      <c r="J28" s="2130"/>
    </row>
    <row r="29" spans="1:10" s="1809" customFormat="1" ht="27.75" customHeight="1" thickBot="1">
      <c r="A29" s="1039" t="s">
        <v>803</v>
      </c>
      <c r="B29" s="1802" t="s">
        <v>996</v>
      </c>
      <c r="C29" s="1803"/>
      <c r="D29" s="1804"/>
      <c r="E29" s="1805">
        <v>330624</v>
      </c>
      <c r="F29" s="1806">
        <v>5842788</v>
      </c>
      <c r="G29" s="1806"/>
      <c r="H29" s="1807"/>
      <c r="I29" s="1808">
        <f t="shared" si="0"/>
        <v>6173412</v>
      </c>
      <c r="J29" s="2130"/>
    </row>
    <row r="30" spans="1:10" ht="19.5" customHeight="1" thickBot="1">
      <c r="A30" s="2131" t="s">
        <v>561</v>
      </c>
      <c r="B30" s="2132"/>
      <c r="C30" s="1059"/>
      <c r="D30" s="1027">
        <f aca="true" t="shared" si="1" ref="D30:I30">+D6+D9+D12+D20+D27</f>
        <v>79149757</v>
      </c>
      <c r="E30" s="1028">
        <f t="shared" si="1"/>
        <v>256579608</v>
      </c>
      <c r="F30" s="1029">
        <f t="shared" si="1"/>
        <v>57341717</v>
      </c>
      <c r="G30" s="1029">
        <f t="shared" si="1"/>
        <v>0</v>
      </c>
      <c r="H30" s="1030">
        <f t="shared" si="1"/>
        <v>0</v>
      </c>
      <c r="I30" s="1031">
        <f t="shared" si="1"/>
        <v>393071082</v>
      </c>
      <c r="J30" s="2130"/>
    </row>
  </sheetData>
  <sheetProtection/>
  <mergeCells count="9">
    <mergeCell ref="J7:J30"/>
    <mergeCell ref="A30:B30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70" r:id="rId1"/>
  <headerFooter alignWithMargins="0">
    <oddHeader>&amp;R15.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38"/>
  <sheetViews>
    <sheetView view="pageBreakPreview" zoomScale="60" zoomScaleNormal="85" workbookViewId="0" topLeftCell="A1">
      <selection activeCell="A43" sqref="A43"/>
    </sheetView>
  </sheetViews>
  <sheetFormatPr defaultColWidth="9.140625" defaultRowHeight="12.75"/>
  <cols>
    <col min="1" max="1" width="47.8515625" style="11" bestFit="1" customWidth="1"/>
    <col min="2" max="2" width="19.8515625" style="11" customWidth="1"/>
    <col min="3" max="3" width="18.57421875" style="11" hidden="1" customWidth="1"/>
    <col min="4" max="4" width="20.57421875" style="11" hidden="1" customWidth="1"/>
    <col min="5" max="5" width="19.57421875" style="11" customWidth="1"/>
    <col min="6" max="6" width="19.421875" style="11" customWidth="1"/>
    <col min="7" max="7" width="18.421875" style="11" customWidth="1"/>
    <col min="8" max="8" width="43.57421875" style="11" bestFit="1" customWidth="1"/>
    <col min="9" max="9" width="21.8515625" style="11" customWidth="1"/>
    <col min="10" max="10" width="18.28125" style="11" hidden="1" customWidth="1"/>
    <col min="11" max="11" width="18.421875" style="11" hidden="1" customWidth="1"/>
    <col min="12" max="12" width="22.28125" style="11" customWidth="1"/>
    <col min="13" max="13" width="18.421875" style="11" customWidth="1"/>
    <col min="14" max="14" width="19.00390625" style="11" customWidth="1"/>
    <col min="15" max="15" width="13.28125" style="11" customWidth="1"/>
    <col min="16" max="16384" width="9.140625" style="11" customWidth="1"/>
  </cols>
  <sheetData>
    <row r="1" spans="8:13" ht="12.75">
      <c r="H1" s="1893" t="s">
        <v>530</v>
      </c>
      <c r="I1" s="1893"/>
      <c r="J1" s="1893"/>
      <c r="K1" s="1893"/>
      <c r="L1" s="1893"/>
      <c r="M1" s="1893"/>
    </row>
    <row r="2" spans="1:9" ht="18">
      <c r="A2" s="1890" t="s">
        <v>19</v>
      </c>
      <c r="B2" s="1890"/>
      <c r="C2" s="1890"/>
      <c r="D2" s="1890"/>
      <c r="E2" s="1890"/>
      <c r="F2" s="1890"/>
      <c r="G2" s="1890"/>
      <c r="H2" s="1890"/>
      <c r="I2" s="1890"/>
    </row>
    <row r="3" spans="1:9" ht="11.25" customHeight="1">
      <c r="A3" s="43"/>
      <c r="B3" s="43"/>
      <c r="C3" s="43"/>
      <c r="D3" s="43"/>
      <c r="E3" s="43"/>
      <c r="F3" s="43"/>
      <c r="G3" s="43"/>
      <c r="H3" s="43"/>
      <c r="I3" s="42" t="s">
        <v>445</v>
      </c>
    </row>
    <row r="4" spans="1:9" ht="17.25" customHeight="1" thickBot="1">
      <c r="A4" s="1891" t="s">
        <v>194</v>
      </c>
      <c r="B4" s="1892"/>
      <c r="C4" s="1892"/>
      <c r="D4" s="1892"/>
      <c r="E4" s="1892"/>
      <c r="F4" s="1892"/>
      <c r="G4" s="1892"/>
      <c r="H4" s="1891"/>
      <c r="I4" s="1892"/>
    </row>
    <row r="5" spans="1:14" ht="33" customHeight="1" thickBot="1">
      <c r="A5" s="286" t="s">
        <v>6</v>
      </c>
      <c r="B5" s="365" t="s">
        <v>222</v>
      </c>
      <c r="C5" s="366" t="s">
        <v>220</v>
      </c>
      <c r="D5" s="366" t="s">
        <v>223</v>
      </c>
      <c r="E5" s="367" t="s">
        <v>225</v>
      </c>
      <c r="F5" s="1175" t="s">
        <v>228</v>
      </c>
      <c r="G5" s="367" t="s">
        <v>229</v>
      </c>
      <c r="H5" s="331" t="s">
        <v>7</v>
      </c>
      <c r="I5" s="365" t="s">
        <v>222</v>
      </c>
      <c r="J5" s="366" t="s">
        <v>220</v>
      </c>
      <c r="K5" s="366" t="s">
        <v>223</v>
      </c>
      <c r="L5" s="367" t="s">
        <v>225</v>
      </c>
      <c r="M5" s="1175" t="s">
        <v>228</v>
      </c>
      <c r="N5" s="367" t="s">
        <v>229</v>
      </c>
    </row>
    <row r="6" spans="1:14" ht="12.75">
      <c r="A6" s="288" t="s">
        <v>319</v>
      </c>
      <c r="B6" s="368">
        <f>'3.sz.m Önk  bev.'!E7</f>
        <v>219910000</v>
      </c>
      <c r="C6" s="1189">
        <f>'3.sz.m Önk  bev.'!F7</f>
        <v>206228365</v>
      </c>
      <c r="D6" s="1189">
        <f>'3.sz.m Önk  bev.'!G7</f>
        <v>206228365</v>
      </c>
      <c r="E6" s="1190">
        <f>'3.sz.m Önk  bev.'!H7</f>
        <v>210825770</v>
      </c>
      <c r="F6" s="1765">
        <f>'3.sz.m Önk  bev.'!I7</f>
        <v>205515720</v>
      </c>
      <c r="G6" s="1768">
        <f>SUM(F6/E6)</f>
        <v>0.9748130885517459</v>
      </c>
      <c r="H6" s="352" t="s">
        <v>171</v>
      </c>
      <c r="I6" s="381">
        <f>'4.sz.m.ÖNK kiadás'!E7+'5.1 sz. m Köz Hiv'!D35+'5.2 sz. m ÁMK'!D38+'üres lap'!D27</f>
        <v>222688836</v>
      </c>
      <c r="J6" s="1219">
        <f>'4.sz.m.ÖNK kiadás'!F7+'5.1 sz. m Köz Hiv'!E35+'5.2 sz. m ÁMK'!E38+'üres lap'!E27</f>
        <v>222688836</v>
      </c>
      <c r="K6" s="1219">
        <f>'4.sz.m.ÖNK kiadás'!G7+'5.1 sz. m Köz Hiv'!F35+'5.2 sz. m ÁMK'!F38+'üres lap'!F27</f>
        <v>223920014</v>
      </c>
      <c r="L6" s="1220">
        <f>'4.sz.m.ÖNK kiadás'!H7+'5.1 sz. m Köz Hiv'!G35+'5.2 sz. m ÁMK'!G38+'üres lap'!G27</f>
        <v>218225799</v>
      </c>
      <c r="M6" s="1759">
        <f>'4.sz.m.ÖNK kiadás'!I7+'5.1 sz. m Köz Hiv'!H35+'5.2 sz. m ÁMK'!H38+'üres lap'!H27</f>
        <v>214347531</v>
      </c>
      <c r="N6" s="1771">
        <f>SUM(M6/L6)</f>
        <v>0.9822281874197651</v>
      </c>
    </row>
    <row r="7" spans="1:14" ht="12.75">
      <c r="A7" s="289" t="s">
        <v>320</v>
      </c>
      <c r="B7" s="369">
        <f>'3.sz.m Önk  bev.'!E21+'5.1 sz. m Köz Hiv'!D9+'5.2 sz. m ÁMK'!D9</f>
        <v>74220992</v>
      </c>
      <c r="C7" s="1191">
        <f>'3.sz.m Önk  bev.'!F21+'5.1 sz. m Köz Hiv'!E9+'5.2 sz. m ÁMK'!E9</f>
        <v>62585349</v>
      </c>
      <c r="D7" s="1191">
        <f>'3.sz.m Önk  bev.'!G21+'5.1 sz. m Köz Hiv'!F9+'5.2 sz. m ÁMK'!F9</f>
        <v>58187345</v>
      </c>
      <c r="E7" s="1192">
        <f>'3.sz.m Önk  bev.'!H21+'5.1 sz. m Köz Hiv'!G9+'5.2 sz. m ÁMK'!G9</f>
        <v>50132483</v>
      </c>
      <c r="F7" s="1760">
        <f>'3.sz.m Önk  bev.'!I21+'5.1 sz. m Köz Hiv'!H9+'5.2 sz. m ÁMK'!H9</f>
        <v>49947842</v>
      </c>
      <c r="G7" s="1768">
        <f>SUM(F7/E7)</f>
        <v>0.9963169388597808</v>
      </c>
      <c r="H7" s="353" t="s">
        <v>172</v>
      </c>
      <c r="I7" s="369">
        <f>'4.sz.m.ÖNK kiadás'!E8+'5.1 sz. m Köz Hiv'!D36+'5.2 sz. m ÁMK'!D39+'üres lap'!D28</f>
        <v>38852584</v>
      </c>
      <c r="J7" s="1191">
        <f>'4.sz.m.ÖNK kiadás'!F8+'5.1 sz. m Köz Hiv'!E36+'5.2 sz. m ÁMK'!E39+'üres lap'!E28</f>
        <v>38852584</v>
      </c>
      <c r="K7" s="1191">
        <f>'4.sz.m.ÖNK kiadás'!G8+'5.1 sz. m Köz Hiv'!F36+'5.2 sz. m ÁMK'!F39+'üres lap'!F28</f>
        <v>38957251</v>
      </c>
      <c r="L7" s="1192">
        <f>'4.sz.m.ÖNK kiadás'!H8+'5.1 sz. m Köz Hiv'!G36+'5.2 sz. m ÁMK'!G39+'üres lap'!G28</f>
        <v>36670020</v>
      </c>
      <c r="M7" s="1760">
        <f>'4.sz.m.ÖNK kiadás'!I8+'5.1 sz. m Köz Hiv'!H36+'5.2 sz. m ÁMK'!H39+'üres lap'!H28</f>
        <v>34769315</v>
      </c>
      <c r="N7" s="1772">
        <f>SUM(M7/L7)</f>
        <v>0.9481673312422518</v>
      </c>
    </row>
    <row r="8" spans="1:14" ht="25.5">
      <c r="A8" s="289" t="s">
        <v>321</v>
      </c>
      <c r="B8" s="369">
        <f>'3.sz.m Önk  bev.'!E32+'5.1 sz. m Köz Hiv'!D15+'5.2 sz. m ÁMK'!D18</f>
        <v>326093376</v>
      </c>
      <c r="C8" s="1191">
        <f>'3.sz.m Önk  bev.'!F32+'5.1 sz. m Köz Hiv'!E15+'5.2 sz. m ÁMK'!E18</f>
        <v>337958427</v>
      </c>
      <c r="D8" s="1191">
        <f>'3.sz.m Önk  bev.'!G32+'5.1 sz. m Köz Hiv'!F15+'5.2 sz. m ÁMK'!F18</f>
        <v>356929703</v>
      </c>
      <c r="E8" s="1192">
        <f>'3.sz.m Önk  bev.'!H32+'5.1 sz. m Köz Hiv'!G15+'5.2 sz. m ÁMK'!G18</f>
        <v>363160225</v>
      </c>
      <c r="F8" s="1760">
        <f>'3.sz.m Önk  bev.'!I32+'5.1 sz. m Köz Hiv'!H15+'5.2 sz. m ÁMK'!H18</f>
        <v>361288225</v>
      </c>
      <c r="G8" s="1768">
        <f aca="true" t="shared" si="0" ref="G8:G23">SUM(F8/E8)</f>
        <v>0.9948452504676139</v>
      </c>
      <c r="H8" s="353" t="s">
        <v>173</v>
      </c>
      <c r="I8" s="369">
        <f>'4.sz.m.ÖNK kiadás'!E9+'5.1 sz. m Köz Hiv'!D37+'5.2 sz. m ÁMK'!D40+'üres lap'!D29</f>
        <v>145494788</v>
      </c>
      <c r="J8" s="1191">
        <f>'4.sz.m.ÖNK kiadás'!F9+'5.1 sz. m Köz Hiv'!E37+'5.2 sz. m ÁMK'!E40+'üres lap'!E29</f>
        <v>146164688</v>
      </c>
      <c r="K8" s="1191">
        <f>'4.sz.m.ÖNK kiadás'!G9+'5.1 sz. m Köz Hiv'!F37+'5.2 sz. m ÁMK'!F40+'üres lap'!F29</f>
        <v>144823418</v>
      </c>
      <c r="L8" s="1192">
        <f>'4.sz.m.ÖNK kiadás'!H9+'5.1 sz. m Köz Hiv'!G37+'5.2 sz. m ÁMK'!G40+'üres lap'!G29</f>
        <v>265634060</v>
      </c>
      <c r="M8" s="1760">
        <f>'4.sz.m.ÖNK kiadás'!I9+'5.1 sz. m Köz Hiv'!H37+'5.2 sz. m ÁMK'!H40+'üres lap'!H29</f>
        <v>116489620</v>
      </c>
      <c r="N8" s="1772">
        <f aca="true" t="shared" si="1" ref="N8:N19">SUM(M8/L8)</f>
        <v>0.43853420001938004</v>
      </c>
    </row>
    <row r="9" spans="1:14" ht="12.75">
      <c r="A9" s="289" t="s">
        <v>322</v>
      </c>
      <c r="B9" s="369">
        <f>'3.sz.m Önk  bev.'!E50+'5.1 sz. m Köz Hiv'!D21+'5.2 sz. m ÁMK'!D24</f>
        <v>60000</v>
      </c>
      <c r="C9" s="1191">
        <f>'3.sz.m Önk  bev.'!F50+'5.1 sz. m Köz Hiv'!E21+'5.2 sz. m ÁMK'!E24</f>
        <v>60000</v>
      </c>
      <c r="D9" s="1191">
        <f>'3.sz.m Önk  bev.'!G50+'5.1 sz. m Köz Hiv'!F21+'5.2 sz. m ÁMK'!F24</f>
        <v>60000</v>
      </c>
      <c r="E9" s="1192">
        <f>'3.sz.m Önk  bev.'!H50+'5.1 sz. m Köz Hiv'!G21+'5.2 sz. m ÁMK'!G24</f>
        <v>60000</v>
      </c>
      <c r="F9" s="1760">
        <f>'3.sz.m Önk  bev.'!I50+'5.1 sz. m Köz Hiv'!H21+'5.2 sz. m ÁMK'!H24</f>
        <v>60000</v>
      </c>
      <c r="G9" s="1768">
        <f t="shared" si="0"/>
        <v>1</v>
      </c>
      <c r="H9" s="353" t="s">
        <v>174</v>
      </c>
      <c r="I9" s="382">
        <f>'4.sz.m.ÖNK kiadás'!E10+'5.1 sz. m Köz Hiv'!D38+'5.2 sz. m ÁMK'!D41+'üres lap'!D30</f>
        <v>2250000</v>
      </c>
      <c r="J9" s="1221">
        <f>'4.sz.m.ÖNK kiadás'!F10+'5.1 sz. m Köz Hiv'!E38+'5.2 sz. m ÁMK'!E41+'üres lap'!E30</f>
        <v>2250000</v>
      </c>
      <c r="K9" s="1221">
        <f>'4.sz.m.ÖNK kiadás'!G10+'5.1 sz. m Köz Hiv'!F38+'5.2 sz. m ÁMK'!F41+'üres lap'!F30</f>
        <v>2250000</v>
      </c>
      <c r="L9" s="1222">
        <f>'4.sz.m.ÖNK kiadás'!H10+'5.1 sz. m Köz Hiv'!G38+'5.2 sz. m ÁMK'!G41+'üres lap'!G30</f>
        <v>2282000</v>
      </c>
      <c r="M9" s="1760">
        <f>'4.sz.m.ÖNK kiadás'!I10+'5.1 sz. m Köz Hiv'!H38+'5.2 sz. m ÁMK'!H41+'üres lap'!H30</f>
        <v>1454000</v>
      </c>
      <c r="N9" s="1772">
        <f t="shared" si="1"/>
        <v>0.6371603856266433</v>
      </c>
    </row>
    <row r="10" spans="1:15" ht="12.75">
      <c r="A10" s="289"/>
      <c r="B10" s="369"/>
      <c r="C10" s="1191"/>
      <c r="D10" s="1191"/>
      <c r="E10" s="1192"/>
      <c r="F10" s="1177"/>
      <c r="G10" s="1768"/>
      <c r="H10" s="354" t="s">
        <v>175</v>
      </c>
      <c r="I10" s="369">
        <f>'4.sz.m.ÖNK kiadás'!E11+'5.1 sz. m Köz Hiv'!D39+'5.2 sz. m ÁMK'!D42+'üres lap'!D31</f>
        <v>151539652</v>
      </c>
      <c r="J10" s="1191">
        <f>'4.sz.m.ÖNK kiadás'!F11+'5.1 sz. m Köz Hiv'!E39+'5.2 sz. m ÁMK'!E42+'üres lap'!E31</f>
        <v>159273710</v>
      </c>
      <c r="K10" s="1191">
        <f>'4.sz.m.ÖNK kiadás'!G11+'5.1 sz. m Köz Hiv'!F39+'5.2 sz. m ÁMK'!F42+'üres lap'!F31</f>
        <v>156300190</v>
      </c>
      <c r="L10" s="1192">
        <f>'4.sz.m.ÖNK kiadás'!H11+'5.1 sz. m Köz Hiv'!G39+'5.2 sz. m ÁMK'!G42+'üres lap'!G31</f>
        <v>156659655</v>
      </c>
      <c r="M10" s="1760">
        <f>'4.sz.m.ÖNK kiadás'!I11+'5.1 sz. m Köz Hiv'!H39+'5.2 sz. m ÁMK'!H42+'üres lap'!H31</f>
        <v>156599655</v>
      </c>
      <c r="N10" s="1772">
        <f t="shared" si="1"/>
        <v>0.9996170041354936</v>
      </c>
      <c r="O10" s="22"/>
    </row>
    <row r="11" spans="1:14" ht="12.75">
      <c r="A11" s="289"/>
      <c r="B11" s="369"/>
      <c r="C11" s="1191"/>
      <c r="D11" s="1191"/>
      <c r="E11" s="1192"/>
      <c r="F11" s="1177"/>
      <c r="G11" s="1768"/>
      <c r="H11" s="353" t="s">
        <v>176</v>
      </c>
      <c r="I11" s="382">
        <f>'4.sz.m.ÖNK kiadás'!E25</f>
        <v>88768165</v>
      </c>
      <c r="J11" s="1221">
        <f>'4.sz.m.ÖNK kiadás'!F25</f>
        <v>80172407</v>
      </c>
      <c r="K11" s="1221">
        <f>'4.sz.m.ÖNK kiadás'!G25</f>
        <v>95182276</v>
      </c>
      <c r="L11" s="1222">
        <f>'4.sz.m.ÖNK kiadás'!H25</f>
        <v>0</v>
      </c>
      <c r="M11" s="1717">
        <f>'4.sz.m.ÖNK kiadás'!I25</f>
        <v>0</v>
      </c>
      <c r="N11" s="1772"/>
    </row>
    <row r="12" spans="1:14" ht="12.75" hidden="1">
      <c r="A12" s="290"/>
      <c r="B12" s="370"/>
      <c r="C12" s="1193"/>
      <c r="D12" s="1193"/>
      <c r="E12" s="1194"/>
      <c r="F12" s="1178"/>
      <c r="G12" s="1768" t="e">
        <f t="shared" si="0"/>
        <v>#DIV/0!</v>
      </c>
      <c r="H12" s="355"/>
      <c r="I12" s="370"/>
      <c r="J12" s="1193"/>
      <c r="K12" s="1193"/>
      <c r="L12" s="1194"/>
      <c r="M12" s="1178"/>
      <c r="N12" s="1772" t="e">
        <f t="shared" si="1"/>
        <v>#DIV/0!</v>
      </c>
    </row>
    <row r="13" spans="1:14" ht="16.5" customHeight="1" hidden="1" thickBot="1">
      <c r="A13" s="291"/>
      <c r="B13" s="371"/>
      <c r="C13" s="1195"/>
      <c r="D13" s="1195"/>
      <c r="E13" s="1196"/>
      <c r="F13" s="1179"/>
      <c r="G13" s="1768" t="e">
        <f t="shared" si="0"/>
        <v>#DIV/0!</v>
      </c>
      <c r="H13" s="356"/>
      <c r="I13" s="371"/>
      <c r="J13" s="1195"/>
      <c r="K13" s="1195"/>
      <c r="L13" s="1196"/>
      <c r="M13" s="1179"/>
      <c r="N13" s="1772" t="e">
        <f t="shared" si="1"/>
        <v>#DIV/0!</v>
      </c>
    </row>
    <row r="14" spans="1:14" ht="24" customHeight="1" thickBot="1">
      <c r="A14" s="292" t="s">
        <v>178</v>
      </c>
      <c r="B14" s="372">
        <f>SUM(B6:B9)</f>
        <v>620284368</v>
      </c>
      <c r="C14" s="1197">
        <f>SUM(C6:C9)</f>
        <v>606832141</v>
      </c>
      <c r="D14" s="1197">
        <f>SUM(D6:D9)</f>
        <v>621405413</v>
      </c>
      <c r="E14" s="1198">
        <f>SUM(E6:E9)</f>
        <v>624178478</v>
      </c>
      <c r="F14" s="1180">
        <f>SUM(F6:F9)</f>
        <v>616811787</v>
      </c>
      <c r="G14" s="1769">
        <f t="shared" si="0"/>
        <v>0.988197781148103</v>
      </c>
      <c r="H14" s="548" t="s">
        <v>179</v>
      </c>
      <c r="I14" s="372">
        <f>SUM(I6:I13)</f>
        <v>649594025</v>
      </c>
      <c r="J14" s="1197">
        <f>SUM(J6:J13)</f>
        <v>649402225</v>
      </c>
      <c r="K14" s="1197">
        <f>SUM(K6:K13)</f>
        <v>661433149</v>
      </c>
      <c r="L14" s="1198">
        <f>SUM(L6:L13)</f>
        <v>679471534</v>
      </c>
      <c r="M14" s="1180">
        <f>SUM(M6:M13)</f>
        <v>523660121</v>
      </c>
      <c r="N14" s="1773">
        <f t="shared" si="1"/>
        <v>0.7706873574485903</v>
      </c>
    </row>
    <row r="15" spans="1:14" ht="18.75" customHeight="1">
      <c r="A15" s="293" t="s">
        <v>449</v>
      </c>
      <c r="B15" s="287">
        <f>'3.sz.m Önk  bev.'!E59+'5.1 sz. m Köz Hiv'!D26+'5.2 sz. m ÁMK'!D29-B27</f>
        <v>177159235</v>
      </c>
      <c r="C15" s="1199">
        <f>'3.sz.m Önk  bev.'!F59+'5.1 sz. m Köz Hiv'!E26+'5.2 sz. m ÁMK'!E29-C27</f>
        <v>177159235</v>
      </c>
      <c r="D15" s="1199">
        <f>'3.sz.m Önk  bev.'!G59+'5.1 sz. m Köz Hiv'!F26+'5.2 sz. m ÁMK'!F29-D27</f>
        <v>177159235</v>
      </c>
      <c r="E15" s="1200">
        <f>'3.sz.m Önk  bev.'!H59+'5.1 sz. m Köz Hiv'!G26+'5.2 sz. m ÁMK'!G29-E27</f>
        <v>179336447</v>
      </c>
      <c r="F15" s="1766">
        <f>'3.sz.m Önk  bev.'!I59+'5.1 sz. m Köz Hiv'!H26+'5.2 sz. m ÁMK'!H29-F27</f>
        <v>240127262</v>
      </c>
      <c r="G15" s="1770">
        <f t="shared" si="0"/>
        <v>1.3389763543157516</v>
      </c>
      <c r="H15" s="352" t="s">
        <v>455</v>
      </c>
      <c r="I15" s="368">
        <f>'4.sz.m.ÖNK kiadás'!E34</f>
        <v>0</v>
      </c>
      <c r="J15" s="1189">
        <f>'4.sz.m.ÖNK kiadás'!F34</f>
        <v>0</v>
      </c>
      <c r="K15" s="1189">
        <f>'4.sz.m.ÖNK kiadás'!G34</f>
        <v>0</v>
      </c>
      <c r="L15" s="1190">
        <f>'4.sz.m.ÖNK kiadás'!H34</f>
        <v>0</v>
      </c>
      <c r="M15" s="1176">
        <f>'4.sz.m.ÖNK kiadás'!I34</f>
        <v>0</v>
      </c>
      <c r="N15" s="368">
        <f>'4.sz.m.ÖNK kiadás'!J34</f>
        <v>0</v>
      </c>
    </row>
    <row r="16" spans="1:14" ht="18.75" customHeight="1" thickBot="1">
      <c r="A16" s="293" t="s">
        <v>497</v>
      </c>
      <c r="B16" s="377">
        <f>'3.sz.m Önk  bev.'!E58</f>
        <v>0</v>
      </c>
      <c r="C16" s="1201">
        <f>'3.sz.m Önk  bev.'!F58</f>
        <v>0</v>
      </c>
      <c r="D16" s="1201">
        <f>'3.sz.m Önk  bev.'!G58</f>
        <v>0</v>
      </c>
      <c r="E16" s="1202">
        <f>'3.sz.m Önk  bev.'!H58</f>
        <v>0</v>
      </c>
      <c r="F16" s="1181">
        <f>'3.sz.m Önk  bev.'!I58</f>
        <v>0</v>
      </c>
      <c r="G16" s="855">
        <f>'3.sz.m Önk  bev.'!J58</f>
        <v>0</v>
      </c>
      <c r="H16" s="355" t="s">
        <v>430</v>
      </c>
      <c r="I16" s="370">
        <f>'4.sz.m.ÖNK kiadás'!E36</f>
        <v>10912646</v>
      </c>
      <c r="J16" s="1193">
        <f>'4.sz.m.ÖNK kiadás'!F36</f>
        <v>10912646</v>
      </c>
      <c r="K16" s="1193">
        <f>'4.sz.m.ÖNK kiadás'!G36</f>
        <v>10912646</v>
      </c>
      <c r="L16" s="1194">
        <f>'4.sz.m.ÖNK kiadás'!H36</f>
        <v>10912646</v>
      </c>
      <c r="M16" s="1761">
        <f>'4.sz.m.ÖNK kiadás'!I36</f>
        <v>10912646</v>
      </c>
      <c r="N16" s="1772">
        <f t="shared" si="1"/>
        <v>1</v>
      </c>
    </row>
    <row r="17" spans="1:14" ht="15" customHeight="1" thickBot="1">
      <c r="A17" s="294" t="s">
        <v>442</v>
      </c>
      <c r="B17" s="373"/>
      <c r="C17" s="1203"/>
      <c r="D17" s="1203"/>
      <c r="E17" s="1204">
        <f>'3.sz.m Önk  bev.'!H57</f>
        <v>13999235</v>
      </c>
      <c r="F17" s="1204">
        <f>'3.sz.m Önk  bev.'!I57</f>
        <v>13999235</v>
      </c>
      <c r="G17" s="1770">
        <f t="shared" si="0"/>
        <v>1</v>
      </c>
      <c r="H17" s="355"/>
      <c r="I17" s="370"/>
      <c r="J17" s="1193"/>
      <c r="K17" s="1193"/>
      <c r="L17" s="1194"/>
      <c r="M17" s="1178"/>
      <c r="N17" s="370"/>
    </row>
    <row r="18" spans="1:14" ht="25.5" customHeight="1" thickBot="1">
      <c r="A18" s="295" t="s">
        <v>183</v>
      </c>
      <c r="B18" s="374">
        <f>SUM(B15:B17)</f>
        <v>177159235</v>
      </c>
      <c r="C18" s="1205">
        <f>SUM(C15:C17)</f>
        <v>177159235</v>
      </c>
      <c r="D18" s="1205">
        <f>SUM(D15:D17)</f>
        <v>177159235</v>
      </c>
      <c r="E18" s="1206">
        <f>SUM(E15:E17)</f>
        <v>193335682</v>
      </c>
      <c r="F18" s="1182">
        <f>SUM(F15:F17)</f>
        <v>254126497</v>
      </c>
      <c r="G18" s="1770">
        <f t="shared" si="0"/>
        <v>1.3144314302002462</v>
      </c>
      <c r="H18" s="357" t="s">
        <v>190</v>
      </c>
      <c r="I18" s="374">
        <f>SUM(I15:I17)</f>
        <v>10912646</v>
      </c>
      <c r="J18" s="1205">
        <f>SUM(J15:J17)</f>
        <v>10912646</v>
      </c>
      <c r="K18" s="1205">
        <f>SUM(K15:K17)</f>
        <v>10912646</v>
      </c>
      <c r="L18" s="1206">
        <f>SUM(L15:L17)</f>
        <v>10912646</v>
      </c>
      <c r="M18" s="1182">
        <f>SUM(M15:M17)</f>
        <v>10912646</v>
      </c>
      <c r="N18" s="1774">
        <f t="shared" si="1"/>
        <v>1</v>
      </c>
    </row>
    <row r="19" spans="1:14" ht="22.5" customHeight="1" thickBot="1">
      <c r="A19" s="296" t="s">
        <v>164</v>
      </c>
      <c r="B19" s="375">
        <f>B14+B18</f>
        <v>797443603</v>
      </c>
      <c r="C19" s="1207">
        <f>C14+C18</f>
        <v>783991376</v>
      </c>
      <c r="D19" s="1207">
        <f>D14+D18</f>
        <v>798564648</v>
      </c>
      <c r="E19" s="1208">
        <f>E14+E18</f>
        <v>817514160</v>
      </c>
      <c r="F19" s="1183">
        <f>F14+F18</f>
        <v>870938284</v>
      </c>
      <c r="G19" s="1770">
        <f t="shared" si="0"/>
        <v>1.065349478472642</v>
      </c>
      <c r="H19" s="358" t="s">
        <v>165</v>
      </c>
      <c r="I19" s="375">
        <f>I14+I18</f>
        <v>660506671</v>
      </c>
      <c r="J19" s="1207">
        <f>J14+J18</f>
        <v>660314871</v>
      </c>
      <c r="K19" s="1207">
        <f>K14+K18</f>
        <v>672345795</v>
      </c>
      <c r="L19" s="1208">
        <f>L14+L18</f>
        <v>690384180</v>
      </c>
      <c r="M19" s="1183">
        <f>M14+M18</f>
        <v>534572767</v>
      </c>
      <c r="N19" s="1774">
        <f t="shared" si="1"/>
        <v>0.7743120171148765</v>
      </c>
    </row>
    <row r="20" spans="1:11" ht="22.5" customHeight="1" thickBot="1">
      <c r="A20" s="1891" t="s">
        <v>195</v>
      </c>
      <c r="B20" s="1892"/>
      <c r="C20" s="1892"/>
      <c r="D20" s="1892"/>
      <c r="E20" s="1892"/>
      <c r="F20" s="1892"/>
      <c r="G20" s="1892"/>
      <c r="H20" s="1891"/>
      <c r="I20" s="1892"/>
      <c r="J20" s="22"/>
      <c r="K20" s="22"/>
    </row>
    <row r="21" spans="1:16" ht="25.5">
      <c r="A21" s="288" t="s">
        <v>166</v>
      </c>
      <c r="B21" s="376">
        <f>'3.sz.m Önk  bev.'!E41</f>
        <v>1074492</v>
      </c>
      <c r="C21" s="1209">
        <f>'3.sz.m Önk  bev.'!F41</f>
        <v>1074492</v>
      </c>
      <c r="D21" s="1209">
        <f>'3.sz.m Önk  bev.'!G41</f>
        <v>8516873</v>
      </c>
      <c r="E21" s="1210">
        <f>'3.sz.m Önk  bev.'!H41</f>
        <v>46404339</v>
      </c>
      <c r="F21" s="1759">
        <f>'3.sz.m Önk  bev.'!I41+'5.1 sz. m Köz Hiv'!H18+'5.2 sz. m ÁMK'!H21</f>
        <v>46404339</v>
      </c>
      <c r="G21" s="1768">
        <f t="shared" si="0"/>
        <v>1</v>
      </c>
      <c r="H21" s="359" t="s">
        <v>168</v>
      </c>
      <c r="I21" s="381">
        <f>'4.sz.m.ÖNK kiadás'!E18+'5.1 sz. m Köz Hiv'!D41+'5.2 sz. m ÁMK'!D44</f>
        <v>63700312</v>
      </c>
      <c r="J21" s="1219">
        <f>'4.sz.m.ÖNK kiadás'!F18+'5.1 sz. m Köz Hiv'!E41+'5.2 sz. m ÁMK'!E44</f>
        <v>61481836</v>
      </c>
      <c r="K21" s="1219">
        <f>'4.sz.m.ÖNK kiadás'!G18+'5.1 sz. m Köz Hiv'!F41+'5.2 sz. m ÁMK'!F44</f>
        <v>68924217</v>
      </c>
      <c r="L21" s="1220">
        <f>'4.sz.m.ÖNK kiadás'!H18+'5.1 sz. m Köz Hiv'!G41+'5.2 sz. m ÁMK'!G44</f>
        <v>80216757</v>
      </c>
      <c r="M21" s="1759">
        <f>'4.sz.m.ÖNK kiadás'!I18+'5.1 sz. m Köz Hiv'!H41+'5.2 sz. m ÁMK'!H44</f>
        <v>55468943</v>
      </c>
      <c r="N21" s="1771">
        <f>SUM(M21/L21)</f>
        <v>0.6914882260822387</v>
      </c>
      <c r="O21" s="22"/>
      <c r="P21" s="22"/>
    </row>
    <row r="22" spans="1:15" ht="25.5">
      <c r="A22" s="289" t="s">
        <v>457</v>
      </c>
      <c r="B22" s="369">
        <f>+'3.sz.m Önk  bev.'!E51</f>
        <v>300000</v>
      </c>
      <c r="C22" s="1191">
        <f>+'3.sz.m Önk  bev.'!F51</f>
        <v>300000</v>
      </c>
      <c r="D22" s="1191">
        <f>+'3.sz.m Önk  bev.'!G51</f>
        <v>300000</v>
      </c>
      <c r="E22" s="1192">
        <f>+'3.sz.m Önk  bev.'!H51</f>
        <v>300000</v>
      </c>
      <c r="F22" s="1760">
        <f>'3.sz.m Önk  bev.'!I51</f>
        <v>300000</v>
      </c>
      <c r="G22" s="1768">
        <f t="shared" si="0"/>
        <v>1</v>
      </c>
      <c r="H22" s="353" t="s">
        <v>169</v>
      </c>
      <c r="I22" s="369">
        <f>'4.sz.m.ÖNK kiadás'!E19</f>
        <v>196331430</v>
      </c>
      <c r="J22" s="1191">
        <f>'4.sz.m.ÖNK kiadás'!F19</f>
        <v>185289479</v>
      </c>
      <c r="K22" s="1191">
        <f>'4.sz.m.ÖNK kiadás'!G19</f>
        <v>187831827</v>
      </c>
      <c r="L22" s="1192">
        <f>'4.sz.m.ÖNK kiadás'!H19</f>
        <v>215932180</v>
      </c>
      <c r="M22" s="1760">
        <f>'4.sz.m.ÖNK kiadás'!I19+'5.2 sz. m ÁMK'!H46</f>
        <v>179200086</v>
      </c>
      <c r="N22" s="1772">
        <f>SUM(M22/L22)</f>
        <v>0.8298905980572233</v>
      </c>
      <c r="O22" s="22"/>
    </row>
    <row r="23" spans="1:14" ht="12.75">
      <c r="A23" s="289" t="s">
        <v>167</v>
      </c>
      <c r="B23" s="369">
        <f>'3.sz.m Önk  bev.'!E53</f>
        <v>600000</v>
      </c>
      <c r="C23" s="1191">
        <f>'3.sz.m Önk  bev.'!F53</f>
        <v>600000</v>
      </c>
      <c r="D23" s="1191">
        <f>'3.sz.m Önk  bev.'!G53</f>
        <v>600000</v>
      </c>
      <c r="E23" s="1192">
        <f>'3.sz.m Önk  bev.'!H53</f>
        <v>1264300</v>
      </c>
      <c r="F23" s="1760">
        <f>'3.sz.m Önk  bev.'!I52</f>
        <v>1264300</v>
      </c>
      <c r="G23" s="1768">
        <f t="shared" si="0"/>
        <v>1</v>
      </c>
      <c r="H23" s="353" t="s">
        <v>170</v>
      </c>
      <c r="I23" s="369">
        <f>'4.sz.m.ÖNK kiadás'!E20</f>
        <v>6000000</v>
      </c>
      <c r="J23" s="1191">
        <f>'4.sz.m.ÖNK kiadás'!F20</f>
        <v>6000000</v>
      </c>
      <c r="K23" s="1191">
        <f>'4.sz.m.ÖNK kiadás'!G20</f>
        <v>6000000</v>
      </c>
      <c r="L23" s="1192">
        <f>'4.sz.m.ÖNK kiadás'!H20</f>
        <v>6070000</v>
      </c>
      <c r="M23" s="1760">
        <f>'4.sz.m.ÖNK kiadás'!I20</f>
        <v>6070000</v>
      </c>
      <c r="N23" s="1769">
        <f>SUM(M23/L23)</f>
        <v>1</v>
      </c>
    </row>
    <row r="24" spans="1:15" ht="13.5" thickBot="1">
      <c r="A24" s="289"/>
      <c r="B24" s="369"/>
      <c r="C24" s="1191"/>
      <c r="D24" s="1191"/>
      <c r="E24" s="1192"/>
      <c r="F24" s="1177"/>
      <c r="G24" s="369"/>
      <c r="H24" s="353" t="s">
        <v>177</v>
      </c>
      <c r="I24" s="369"/>
      <c r="J24" s="1191"/>
      <c r="K24" s="1191"/>
      <c r="L24" s="1192"/>
      <c r="M24" s="1177"/>
      <c r="N24" s="369"/>
      <c r="O24" s="22"/>
    </row>
    <row r="25" spans="1:14" ht="13.5" hidden="1" thickBot="1">
      <c r="A25" s="298"/>
      <c r="B25" s="370"/>
      <c r="C25" s="1193"/>
      <c r="D25" s="1193"/>
      <c r="E25" s="1194"/>
      <c r="F25" s="1178"/>
      <c r="G25" s="370"/>
      <c r="H25" s="355"/>
      <c r="I25" s="370"/>
      <c r="J25" s="1193"/>
      <c r="K25" s="1193"/>
      <c r="L25" s="1194"/>
      <c r="M25" s="1178"/>
      <c r="N25" s="370"/>
    </row>
    <row r="26" spans="1:14" ht="13.5" thickBot="1">
      <c r="A26" s="299" t="s">
        <v>181</v>
      </c>
      <c r="B26" s="375">
        <f>SUM(B21:B24)</f>
        <v>1974492</v>
      </c>
      <c r="C26" s="1207">
        <f>SUM(C21:C24)</f>
        <v>1974492</v>
      </c>
      <c r="D26" s="1207">
        <f>SUM(D21:D24)</f>
        <v>9416873</v>
      </c>
      <c r="E26" s="1208">
        <f>SUM(E21:E24)</f>
        <v>47968639</v>
      </c>
      <c r="F26" s="1183">
        <f>SUM(F21:F24)</f>
        <v>47968639</v>
      </c>
      <c r="G26" s="1770">
        <f aca="true" t="shared" si="2" ref="G26:G32">SUM(F26/E26)</f>
        <v>1</v>
      </c>
      <c r="H26" s="360" t="s">
        <v>180</v>
      </c>
      <c r="I26" s="383">
        <f>SUM(I21:I25)</f>
        <v>266031742</v>
      </c>
      <c r="J26" s="1223">
        <f>SUM(J21:J25)</f>
        <v>252771315</v>
      </c>
      <c r="K26" s="1223">
        <f>SUM(K21:K25)</f>
        <v>262756044</v>
      </c>
      <c r="L26" s="1224">
        <f>SUM(L21:L25)</f>
        <v>302218937</v>
      </c>
      <c r="M26" s="1187">
        <f>SUM(M21:M25)</f>
        <v>240739029</v>
      </c>
      <c r="N26" s="1769">
        <f>SUM(M26/L26)</f>
        <v>0.7965716225121923</v>
      </c>
    </row>
    <row r="27" spans="1:14" ht="15" customHeight="1">
      <c r="A27" s="293" t="s">
        <v>449</v>
      </c>
      <c r="B27" s="1111">
        <f>+'6.a.sz.m.fejlesztés (4)'!M30+'6.a.sz.m.fejlesztés (4)'!M31+'6.a.sz.m.fejlesztés (4)'!M32+'6.a.sz.m.fejlesztés (4)'!M11+'6.a.sz.m.fejlesztés (4)'!M34+'6.a.sz.m.fejlesztés (4)'!M10</f>
        <v>127120318</v>
      </c>
      <c r="C27" s="1211">
        <f>+'6.a.sz.m.fejlesztés (4)'!N30+'6.a.sz.m.fejlesztés (4)'!N31+'6.a.sz.m.fejlesztés (4)'!N32+'6.a.sz.m.fejlesztés (4)'!N11+'6.a.sz.m.fejlesztés (4)'!N34+'6.a.sz.m.fejlesztés (4)'!N10</f>
        <v>127120318</v>
      </c>
      <c r="D27" s="1211">
        <v>127120318</v>
      </c>
      <c r="E27" s="1212">
        <v>127120318</v>
      </c>
      <c r="F27" s="1767">
        <f>10090000+8316000+2061005+36229733+9632765</f>
        <v>66329503</v>
      </c>
      <c r="G27" s="1768">
        <f t="shared" si="2"/>
        <v>0.5217852192597567</v>
      </c>
      <c r="H27" s="361" t="s">
        <v>182</v>
      </c>
      <c r="I27" s="368">
        <f>'4.sz.m.ÖNK kiadás'!E33</f>
        <v>0</v>
      </c>
      <c r="J27" s="1189">
        <f>'4.sz.m.ÖNK kiadás'!F33</f>
        <v>0</v>
      </c>
      <c r="K27" s="1189">
        <f>'4.sz.m.ÖNK kiadás'!G33</f>
        <v>0</v>
      </c>
      <c r="L27" s="1190">
        <f>'4.sz.m.ÖNK kiadás'!H33</f>
        <v>0</v>
      </c>
      <c r="M27" s="1176">
        <f>'4.sz.m.ÖNK kiadás'!I33</f>
        <v>0</v>
      </c>
      <c r="N27" s="368">
        <f>'4.sz.m.ÖNK kiadás'!J33</f>
        <v>0</v>
      </c>
    </row>
    <row r="28" spans="1:14" ht="13.5" thickBot="1">
      <c r="A28" s="294" t="s">
        <v>163</v>
      </c>
      <c r="B28" s="378">
        <f>'3.sz.m Önk  bev.'!E57</f>
        <v>0</v>
      </c>
      <c r="C28" s="1213">
        <f>'3.sz.m Önk  bev.'!F57</f>
        <v>0</v>
      </c>
      <c r="D28" s="1213">
        <f>'3.sz.m Önk  bev.'!G57</f>
        <v>0</v>
      </c>
      <c r="E28" s="1214"/>
      <c r="F28" s="1184"/>
      <c r="G28" s="378"/>
      <c r="H28" s="362" t="s">
        <v>454</v>
      </c>
      <c r="I28" s="370"/>
      <c r="J28" s="1193"/>
      <c r="K28" s="1193"/>
      <c r="L28" s="1194"/>
      <c r="M28" s="1178"/>
      <c r="N28" s="370"/>
    </row>
    <row r="29" spans="1:15" ht="25.5" customHeight="1" thickBot="1">
      <c r="A29" s="300" t="s">
        <v>184</v>
      </c>
      <c r="B29" s="374">
        <f>SUM(B27:B28)</f>
        <v>127120318</v>
      </c>
      <c r="C29" s="1205">
        <f>SUM(C27:C28)</f>
        <v>127120318</v>
      </c>
      <c r="D29" s="1205">
        <f>SUM(D27:D28)</f>
        <v>127120318</v>
      </c>
      <c r="E29" s="1206">
        <f>SUM(E27:E28)</f>
        <v>127120318</v>
      </c>
      <c r="F29" s="1182">
        <f>SUM(F27:F28)</f>
        <v>66329503</v>
      </c>
      <c r="G29" s="1770">
        <f t="shared" si="2"/>
        <v>0.5217852192597567</v>
      </c>
      <c r="H29" s="360" t="s">
        <v>185</v>
      </c>
      <c r="I29" s="375">
        <f aca="true" t="shared" si="3" ref="I29:N29">SUM(I27:I28)</f>
        <v>0</v>
      </c>
      <c r="J29" s="1207">
        <f>SUM(J27:J28)</f>
        <v>0</v>
      </c>
      <c r="K29" s="1207">
        <f>SUM(K27:K28)</f>
        <v>0</v>
      </c>
      <c r="L29" s="1208">
        <f>SUM(L27:L28)</f>
        <v>0</v>
      </c>
      <c r="M29" s="1183">
        <f t="shared" si="3"/>
        <v>0</v>
      </c>
      <c r="N29" s="375">
        <f t="shared" si="3"/>
        <v>0</v>
      </c>
      <c r="O29" s="22"/>
    </row>
    <row r="30" spans="1:15" ht="26.25" customHeight="1" thickBot="1">
      <c r="A30" s="297" t="s">
        <v>186</v>
      </c>
      <c r="B30" s="375">
        <f>B26+B29</f>
        <v>129094810</v>
      </c>
      <c r="C30" s="1207">
        <f>C26+C29</f>
        <v>129094810</v>
      </c>
      <c r="D30" s="1207">
        <f>D26+D29</f>
        <v>136537191</v>
      </c>
      <c r="E30" s="1208">
        <f>E26+E29</f>
        <v>175088957</v>
      </c>
      <c r="F30" s="1183">
        <f>F26+F29</f>
        <v>114298142</v>
      </c>
      <c r="G30" s="1770">
        <f t="shared" si="2"/>
        <v>0.6528004047679603</v>
      </c>
      <c r="H30" s="363" t="s">
        <v>187</v>
      </c>
      <c r="I30" s="375">
        <f>I29+I26</f>
        <v>266031742</v>
      </c>
      <c r="J30" s="1207">
        <f>J29+J26</f>
        <v>252771315</v>
      </c>
      <c r="K30" s="1207">
        <f>K29+K26</f>
        <v>262756044</v>
      </c>
      <c r="L30" s="1208">
        <f>L29+L26</f>
        <v>302218937</v>
      </c>
      <c r="M30" s="1183">
        <f>M29+M26</f>
        <v>240739029</v>
      </c>
      <c r="N30" s="1774">
        <f>SUM(M30/L30)</f>
        <v>0.7965716225121923</v>
      </c>
      <c r="O30" s="22"/>
    </row>
    <row r="31" spans="1:14" ht="26.25" customHeight="1" hidden="1" thickBot="1">
      <c r="A31" s="297" t="s">
        <v>232</v>
      </c>
      <c r="B31" s="379"/>
      <c r="C31" s="1215"/>
      <c r="D31" s="1215"/>
      <c r="E31" s="1216"/>
      <c r="F31" s="1185"/>
      <c r="G31" s="1770" t="e">
        <f t="shared" si="2"/>
        <v>#DIV/0!</v>
      </c>
      <c r="H31" s="363" t="s">
        <v>231</v>
      </c>
      <c r="I31" s="375"/>
      <c r="J31" s="1207"/>
      <c r="K31" s="1207"/>
      <c r="L31" s="1208"/>
      <c r="M31" s="1183"/>
      <c r="N31" s="1774" t="e">
        <f>SUM(M31/L31)</f>
        <v>#DIV/0!</v>
      </c>
    </row>
    <row r="32" spans="1:14" ht="29.25" customHeight="1" thickBot="1">
      <c r="A32" s="301" t="s">
        <v>188</v>
      </c>
      <c r="B32" s="380">
        <f>B19+B30</f>
        <v>926538413</v>
      </c>
      <c r="C32" s="1217">
        <f>C19+C30</f>
        <v>913086186</v>
      </c>
      <c r="D32" s="1217">
        <f>D19+D30</f>
        <v>935101839</v>
      </c>
      <c r="E32" s="1218">
        <f>E19+E30</f>
        <v>992603117</v>
      </c>
      <c r="F32" s="1186">
        <f>F19+F30</f>
        <v>985236426</v>
      </c>
      <c r="G32" s="1774">
        <f t="shared" si="2"/>
        <v>0.9925784123847357</v>
      </c>
      <c r="H32" s="364" t="s">
        <v>189</v>
      </c>
      <c r="I32" s="384">
        <f>I30+I19</f>
        <v>926538413</v>
      </c>
      <c r="J32" s="1225">
        <f>J30+J19</f>
        <v>913086186</v>
      </c>
      <c r="K32" s="1225">
        <f>K30+K19</f>
        <v>935101839</v>
      </c>
      <c r="L32" s="1226">
        <f>L30+L19</f>
        <v>992603117</v>
      </c>
      <c r="M32" s="1188">
        <f>M30+M19</f>
        <v>775311796</v>
      </c>
      <c r="N32" s="1774">
        <f>SUM(M32/L32)</f>
        <v>0.7810894230750235</v>
      </c>
    </row>
    <row r="34" spans="2:13" ht="12.75" hidden="1">
      <c r="B34" s="22"/>
      <c r="C34" s="22"/>
      <c r="D34" s="22"/>
      <c r="E34" s="22"/>
      <c r="F34" s="22">
        <v>664780426</v>
      </c>
      <c r="G34" s="22"/>
      <c r="I34" s="22"/>
      <c r="K34" s="22"/>
      <c r="L34" s="22"/>
      <c r="M34" s="1763">
        <v>10912646</v>
      </c>
    </row>
    <row r="35" spans="2:14" ht="15" hidden="1">
      <c r="B35" s="22"/>
      <c r="C35" s="22"/>
      <c r="E35" s="22"/>
      <c r="F35" s="1762">
        <v>320456000</v>
      </c>
      <c r="L35" s="22"/>
      <c r="M35" s="1764">
        <v>764399150</v>
      </c>
      <c r="N35" s="22"/>
    </row>
    <row r="36" spans="3:13" ht="12.75" hidden="1">
      <c r="C36" s="22"/>
      <c r="F36" s="22">
        <f>SUM(F34:F35)</f>
        <v>985236426</v>
      </c>
      <c r="H36" s="22"/>
      <c r="I36" s="22"/>
      <c r="M36" s="1763">
        <f>SUM(M34:M35)</f>
        <v>775311796</v>
      </c>
    </row>
    <row r="37" ht="12.75">
      <c r="C37" s="22"/>
    </row>
    <row r="38" ht="12.75">
      <c r="C38" s="22"/>
    </row>
  </sheetData>
  <sheetProtection/>
  <mergeCells count="4">
    <mergeCell ref="A2:I2"/>
    <mergeCell ref="A20:I20"/>
    <mergeCell ref="A4:I4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5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view="pageBreakPreview" zoomScale="60" workbookViewId="0" topLeftCell="A1">
      <selection activeCell="C24" sqref="C24"/>
    </sheetView>
  </sheetViews>
  <sheetFormatPr defaultColWidth="60.421875" defaultRowHeight="12.75"/>
  <cols>
    <col min="1" max="1" width="60.421875" style="0" customWidth="1"/>
    <col min="2" max="2" width="5.57421875" style="0" customWidth="1"/>
    <col min="3" max="3" width="11.00390625" style="0" customWidth="1"/>
    <col min="4" max="4" width="14.8515625" style="0" customWidth="1"/>
    <col min="5" max="255" width="10.7109375" style="0" customWidth="1"/>
  </cols>
  <sheetData>
    <row r="1" spans="1:3" ht="15.75">
      <c r="A1" s="2147" t="s">
        <v>985</v>
      </c>
      <c r="B1" s="2147"/>
      <c r="C1" s="1334"/>
    </row>
    <row r="2" spans="1:3" ht="15.75">
      <c r="A2" s="1533"/>
      <c r="B2" s="1533"/>
      <c r="C2" s="1334"/>
    </row>
    <row r="3" spans="1:3" ht="15.75">
      <c r="A3" s="1533"/>
      <c r="B3" s="1533"/>
      <c r="C3" s="1334"/>
    </row>
    <row r="4" spans="1:3" ht="15.75">
      <c r="A4" s="1533"/>
      <c r="B4" s="1533"/>
      <c r="C4" s="1334"/>
    </row>
    <row r="5" spans="1:3" ht="13.5" thickBot="1">
      <c r="A5" s="2148" t="s">
        <v>472</v>
      </c>
      <c r="B5" s="2148"/>
      <c r="C5" s="2148"/>
    </row>
    <row r="6" spans="1:3" ht="28.5" customHeight="1">
      <c r="A6" s="1534" t="s">
        <v>981</v>
      </c>
      <c r="B6" s="2149" t="s">
        <v>982</v>
      </c>
      <c r="C6" s="2150"/>
    </row>
    <row r="7" spans="1:3" ht="12.75">
      <c r="A7" s="1535" t="s">
        <v>983</v>
      </c>
      <c r="B7" s="2143">
        <v>11580000</v>
      </c>
      <c r="C7" s="2144"/>
    </row>
    <row r="8" spans="1:3" ht="12.75" hidden="1">
      <c r="A8" s="1535" t="s">
        <v>984</v>
      </c>
      <c r="B8" s="2143"/>
      <c r="C8" s="2144"/>
    </row>
    <row r="9" spans="1:3" ht="12.75" hidden="1">
      <c r="A9" s="1535"/>
      <c r="B9" s="2143"/>
      <c r="C9" s="2144"/>
    </row>
    <row r="10" spans="1:3" ht="12.75" hidden="1">
      <c r="A10" s="1535"/>
      <c r="B10" s="2143"/>
      <c r="C10" s="2144"/>
    </row>
    <row r="11" spans="1:3" ht="12.75" hidden="1">
      <c r="A11" s="1535"/>
      <c r="B11" s="2143"/>
      <c r="C11" s="2144"/>
    </row>
    <row r="12" spans="1:3" ht="13.5" thickBot="1">
      <c r="A12" s="1536" t="s">
        <v>1</v>
      </c>
      <c r="B12" s="2145">
        <f>B7+B8+B9+B10+B11</f>
        <v>11580000</v>
      </c>
      <c r="C12" s="2146"/>
    </row>
    <row r="13" spans="1:3" ht="15.75">
      <c r="A13" s="1334"/>
      <c r="B13" s="1378"/>
      <c r="C13" s="1334"/>
    </row>
  </sheetData>
  <sheetProtection selectLockedCells="1" selectUnlockedCells="1"/>
  <mergeCells count="9">
    <mergeCell ref="B10:C10"/>
    <mergeCell ref="B11:C11"/>
    <mergeCell ref="B12:C12"/>
    <mergeCell ref="A1:B1"/>
    <mergeCell ref="A5:C5"/>
    <mergeCell ref="B6:C6"/>
    <mergeCell ref="B7:C7"/>
    <mergeCell ref="B8:C8"/>
    <mergeCell ref="B9:C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4" r:id="rId1"/>
  <headerFooter alignWithMargins="0">
    <oddHeader>&amp;R21. számú melléklet</oddHeader>
    <oddFooter>&amp;C&amp;"Times New Roman,Normál"&amp;12Oldal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view="pageBreakPreview" zoomScale="60" zoomScalePageLayoutView="0" workbookViewId="0" topLeftCell="A1">
      <selection activeCell="C13" sqref="C13"/>
    </sheetView>
  </sheetViews>
  <sheetFormatPr defaultColWidth="9.140625" defaultRowHeight="12.75"/>
  <cols>
    <col min="1" max="1" width="8.421875" style="1537" bestFit="1" customWidth="1"/>
    <col min="2" max="2" width="42.7109375" style="1537" bestFit="1" customWidth="1"/>
    <col min="3" max="3" width="17.421875" style="1537" customWidth="1"/>
    <col min="4" max="4" width="14.28125" style="1537" customWidth="1"/>
    <col min="5" max="5" width="16.8515625" style="1537" customWidth="1"/>
    <col min="6" max="6" width="11.8515625" style="1537" bestFit="1" customWidth="1"/>
    <col min="7" max="16384" width="9.140625" style="1537" customWidth="1"/>
  </cols>
  <sheetData>
    <row r="1" spans="2:3" ht="12.75" customHeight="1">
      <c r="B1" s="2151" t="s">
        <v>986</v>
      </c>
      <c r="C1" s="2151"/>
    </row>
    <row r="2" spans="1:3" ht="14.25">
      <c r="A2" s="1538"/>
      <c r="B2" s="1538"/>
      <c r="C2" s="1538"/>
    </row>
    <row r="3" spans="1:3" ht="14.25">
      <c r="A3" s="2152" t="s">
        <v>987</v>
      </c>
      <c r="B3" s="2152"/>
      <c r="C3" s="2152"/>
    </row>
    <row r="4" ht="13.5" thickBot="1">
      <c r="C4" s="1539"/>
    </row>
    <row r="5" spans="1:3" ht="15" thickBot="1">
      <c r="A5" s="1540" t="s">
        <v>5</v>
      </c>
      <c r="B5" s="1541" t="s">
        <v>3</v>
      </c>
      <c r="C5" s="1542" t="s">
        <v>988</v>
      </c>
    </row>
    <row r="6" spans="1:5" ht="25.5">
      <c r="A6" s="1543" t="s">
        <v>26</v>
      </c>
      <c r="B6" s="1544" t="s">
        <v>994</v>
      </c>
      <c r="C6" s="1545">
        <f>C7+C8+C9+C10</f>
        <v>305452185</v>
      </c>
      <c r="D6" s="1546"/>
      <c r="E6" s="1546"/>
    </row>
    <row r="7" spans="1:5" ht="12.75">
      <c r="A7" s="1547" t="s">
        <v>27</v>
      </c>
      <c r="B7" s="1548" t="s">
        <v>989</v>
      </c>
      <c r="C7" s="1549">
        <v>288552240</v>
      </c>
      <c r="E7" s="1550"/>
    </row>
    <row r="8" spans="1:3" ht="12.75">
      <c r="A8" s="1547" t="s">
        <v>9</v>
      </c>
      <c r="B8" s="1548" t="s">
        <v>990</v>
      </c>
      <c r="C8" s="1551">
        <v>0</v>
      </c>
    </row>
    <row r="9" spans="1:3" ht="12.75">
      <c r="A9" s="1547" t="s">
        <v>10</v>
      </c>
      <c r="B9" s="1548" t="s">
        <v>991</v>
      </c>
      <c r="C9" s="1551">
        <v>0</v>
      </c>
    </row>
    <row r="10" spans="1:3" ht="13.5" thickBot="1">
      <c r="A10" s="1552" t="s">
        <v>11</v>
      </c>
      <c r="B10" s="1548" t="s">
        <v>992</v>
      </c>
      <c r="C10" s="1553">
        <v>16899945</v>
      </c>
    </row>
    <row r="11" spans="1:3" ht="25.5">
      <c r="A11" s="1554" t="s">
        <v>12</v>
      </c>
      <c r="B11" s="1555" t="s">
        <v>995</v>
      </c>
      <c r="C11" s="1545">
        <f>C12+C13+C14+C15</f>
        <v>209854522</v>
      </c>
    </row>
    <row r="12" spans="1:4" ht="12.75">
      <c r="A12" s="1547" t="s">
        <v>13</v>
      </c>
      <c r="B12" s="1548" t="s">
        <v>989</v>
      </c>
      <c r="C12" s="1549">
        <v>192922773</v>
      </c>
      <c r="D12" s="1546"/>
    </row>
    <row r="13" spans="1:6" ht="12.75">
      <c r="A13" s="1552" t="s">
        <v>56</v>
      </c>
      <c r="B13" s="1548" t="s">
        <v>990</v>
      </c>
      <c r="C13" s="1551">
        <v>0</v>
      </c>
      <c r="D13" s="1546"/>
      <c r="E13" s="1546"/>
      <c r="F13" s="1550"/>
    </row>
    <row r="14" spans="1:3" ht="12.75">
      <c r="A14" s="1552" t="s">
        <v>57</v>
      </c>
      <c r="B14" s="1548" t="s">
        <v>991</v>
      </c>
      <c r="C14" s="1551">
        <v>0</v>
      </c>
    </row>
    <row r="15" spans="1:3" ht="13.5" thickBot="1">
      <c r="A15" s="1556" t="s">
        <v>384</v>
      </c>
      <c r="B15" s="1557" t="s">
        <v>992</v>
      </c>
      <c r="C15" s="1553">
        <v>16931749</v>
      </c>
    </row>
  </sheetData>
  <sheetProtection/>
  <mergeCells count="2">
    <mergeCell ref="B1:C1"/>
    <mergeCell ref="A3:C3"/>
  </mergeCells>
  <conditionalFormatting sqref="C11">
    <cfRule type="cellIs" priority="2" dxfId="2" operator="notEqual" stopIfTrue="1">
      <formula>SUM(C12:C15)</formula>
    </cfRule>
  </conditionalFormatting>
  <conditionalFormatting sqref="C6">
    <cfRule type="cellIs" priority="1" dxfId="2" operator="notEqual" stopIfTrue="1">
      <formula>SUM(C7:C10)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3"/>
  <sheetViews>
    <sheetView tabSelected="1" view="pageBreakPreview" zoomScale="60" zoomScalePageLayoutView="0" workbookViewId="0" topLeftCell="A1">
      <selection activeCell="P38" sqref="P38"/>
    </sheetView>
  </sheetViews>
  <sheetFormatPr defaultColWidth="9.140625" defaultRowHeight="12.75"/>
  <cols>
    <col min="1" max="1" width="55.57421875" style="1060" customWidth="1"/>
    <col min="2" max="2" width="27.7109375" style="1060" customWidth="1"/>
    <col min="3" max="3" width="11.140625" style="1061" customWidth="1"/>
    <col min="4" max="4" width="12.28125" style="1061" customWidth="1"/>
    <col min="5" max="5" width="26.8515625" style="1063" customWidth="1"/>
    <col min="6" max="8" width="12.00390625" style="1063" customWidth="1"/>
    <col min="9" max="9" width="12.140625" style="1063" customWidth="1"/>
    <col min="10" max="11" width="12.140625" style="1064" customWidth="1"/>
    <col min="12" max="12" width="11.8515625" style="1063" customWidth="1"/>
    <col min="13" max="13" width="11.00390625" style="1063" customWidth="1"/>
    <col min="14" max="14" width="12.140625" style="1063" customWidth="1"/>
    <col min="15" max="16384" width="9.140625" style="1063" customWidth="1"/>
  </cols>
  <sheetData>
    <row r="1" spans="5:12" ht="12.75">
      <c r="E1" s="2153"/>
      <c r="F1" s="2153"/>
      <c r="G1" s="2153"/>
      <c r="H1" s="2153"/>
      <c r="I1" s="2153"/>
      <c r="J1" s="2153"/>
      <c r="K1" s="2153"/>
      <c r="L1" s="2153"/>
    </row>
    <row r="2" spans="2:12" ht="12.75">
      <c r="B2" s="2154" t="s">
        <v>993</v>
      </c>
      <c r="C2" s="2154"/>
      <c r="D2" s="2154"/>
      <c r="E2" s="2154"/>
      <c r="F2" s="2154"/>
      <c r="G2" s="2154"/>
      <c r="H2" s="2154"/>
      <c r="I2" s="2154"/>
      <c r="J2" s="2154"/>
      <c r="K2" s="2154"/>
      <c r="L2" s="2154"/>
    </row>
    <row r="3" spans="1:12" ht="26.25" customHeight="1">
      <c r="A3" s="2155" t="s">
        <v>575</v>
      </c>
      <c r="B3" s="2155"/>
      <c r="C3" s="2155"/>
      <c r="D3" s="2155"/>
      <c r="E3" s="2155"/>
      <c r="F3" s="2155"/>
      <c r="G3" s="2155"/>
      <c r="H3" s="2155"/>
      <c r="I3" s="2155"/>
      <c r="J3" s="2155"/>
      <c r="K3" s="2155"/>
      <c r="L3" s="2155"/>
    </row>
    <row r="4" spans="1:12" ht="21" customHeight="1">
      <c r="A4" s="2156" t="s">
        <v>508</v>
      </c>
      <c r="B4" s="2156"/>
      <c r="C4" s="2156"/>
      <c r="D4" s="2156"/>
      <c r="E4" s="2156"/>
      <c r="F4" s="2156"/>
      <c r="G4" s="2156"/>
      <c r="H4" s="2156"/>
      <c r="I4" s="2156"/>
      <c r="J4" s="2156"/>
      <c r="K4" s="2156"/>
      <c r="L4" s="2156"/>
    </row>
    <row r="5" spans="6:7" ht="32.25" customHeight="1" thickBot="1">
      <c r="F5" s="1062" t="s">
        <v>472</v>
      </c>
      <c r="G5" s="1062"/>
    </row>
    <row r="6" spans="1:12" s="1066" customFormat="1" ht="13.5" thickBot="1">
      <c r="A6" s="1065" t="s">
        <v>3</v>
      </c>
      <c r="B6" s="2157" t="s">
        <v>509</v>
      </c>
      <c r="C6" s="2158"/>
      <c r="D6" s="2158"/>
      <c r="E6" s="2157" t="s">
        <v>510</v>
      </c>
      <c r="F6" s="2158"/>
      <c r="G6" s="2158"/>
      <c r="H6" s="2157"/>
      <c r="I6" s="2158"/>
      <c r="J6" s="2158"/>
      <c r="K6" s="2158"/>
      <c r="L6" s="2158"/>
    </row>
    <row r="7" spans="5:12" ht="12.75" hidden="1">
      <c r="E7" s="1067"/>
      <c r="F7" s="1068">
        <v>2016</v>
      </c>
      <c r="G7" s="1068">
        <v>2017</v>
      </c>
      <c r="H7" s="1068">
        <v>2018</v>
      </c>
      <c r="I7" s="1068">
        <v>2019</v>
      </c>
      <c r="J7" s="1068">
        <v>2020</v>
      </c>
      <c r="K7" s="1068"/>
      <c r="L7" s="1068"/>
    </row>
    <row r="8" spans="1:12" ht="12.75" hidden="1">
      <c r="A8" s="1069"/>
      <c r="B8" s="1069"/>
      <c r="C8" s="1070"/>
      <c r="D8" s="1071" t="s">
        <v>228</v>
      </c>
      <c r="E8" s="1072"/>
      <c r="F8" s="1070"/>
      <c r="G8" s="1070"/>
      <c r="H8" s="1070"/>
      <c r="I8" s="1070"/>
      <c r="J8" s="1070"/>
      <c r="K8" s="1070"/>
      <c r="L8" s="1070"/>
    </row>
    <row r="9" spans="1:14" ht="20.25" customHeight="1" hidden="1">
      <c r="A9" s="1073"/>
      <c r="B9" s="1074"/>
      <c r="C9" s="1075"/>
      <c r="D9" s="1075"/>
      <c r="E9" s="1076"/>
      <c r="F9" s="1075"/>
      <c r="G9" s="1075"/>
      <c r="H9" s="1075"/>
      <c r="I9" s="1075"/>
      <c r="J9" s="1075"/>
      <c r="K9" s="1075"/>
      <c r="L9" s="1075"/>
      <c r="N9" s="1061"/>
    </row>
    <row r="10" spans="1:12" ht="18" customHeight="1" hidden="1">
      <c r="A10" s="2159"/>
      <c r="B10" s="2161"/>
      <c r="C10" s="1077"/>
      <c r="D10" s="1077"/>
      <c r="E10" s="1078"/>
      <c r="F10" s="1078"/>
      <c r="G10" s="1078"/>
      <c r="H10" s="1078"/>
      <c r="I10" s="1078"/>
      <c r="J10" s="1078"/>
      <c r="K10" s="1078"/>
      <c r="L10" s="1078"/>
    </row>
    <row r="11" spans="1:12" ht="18.75" customHeight="1" hidden="1" thickBot="1">
      <c r="A11" s="2160"/>
      <c r="B11" s="2162"/>
      <c r="C11" s="1079"/>
      <c r="D11" s="1079"/>
      <c r="E11" s="1080"/>
      <c r="F11" s="1079"/>
      <c r="G11" s="1079"/>
      <c r="H11" s="1079"/>
      <c r="I11" s="1079"/>
      <c r="J11" s="1079"/>
      <c r="K11" s="1079"/>
      <c r="L11" s="1079"/>
    </row>
    <row r="12" spans="1:7" ht="12" customHeight="1" hidden="1">
      <c r="A12" s="1081"/>
      <c r="F12" s="1061"/>
      <c r="G12" s="1061"/>
    </row>
    <row r="13" ht="12.75" hidden="1"/>
    <row r="14" spans="1:14" ht="12.75" hidden="1">
      <c r="A14" s="1082" t="s">
        <v>529</v>
      </c>
      <c r="B14" s="1083" t="s">
        <v>257</v>
      </c>
      <c r="C14" s="1084"/>
      <c r="D14" s="1084"/>
      <c r="E14" s="1085" t="s">
        <v>511</v>
      </c>
      <c r="F14" s="1084"/>
      <c r="G14" s="1084"/>
      <c r="H14" s="1084"/>
      <c r="I14" s="1084"/>
      <c r="J14" s="1084"/>
      <c r="K14" s="1084"/>
      <c r="L14" s="1084">
        <f>SUM(F14:I14)</f>
        <v>0</v>
      </c>
      <c r="M14" s="1061"/>
      <c r="N14" s="1061"/>
    </row>
    <row r="15" spans="1:12" ht="12.75" hidden="1">
      <c r="A15" s="2159" t="s">
        <v>514</v>
      </c>
      <c r="B15" s="2161" t="s">
        <v>516</v>
      </c>
      <c r="C15" s="2164"/>
      <c r="D15" s="2164"/>
      <c r="E15" s="2166"/>
      <c r="F15" s="2166"/>
      <c r="G15" s="2166"/>
      <c r="H15" s="2166"/>
      <c r="I15" s="2166"/>
      <c r="J15" s="1087"/>
      <c r="K15" s="1087"/>
      <c r="L15" s="2166"/>
    </row>
    <row r="16" spans="1:12" ht="12.75" hidden="1">
      <c r="A16" s="2163"/>
      <c r="B16" s="2162"/>
      <c r="C16" s="2165"/>
      <c r="D16" s="2165"/>
      <c r="E16" s="2167"/>
      <c r="F16" s="2167"/>
      <c r="G16" s="2167"/>
      <c r="H16" s="2167"/>
      <c r="I16" s="2167"/>
      <c r="J16" s="1089"/>
      <c r="K16" s="1089"/>
      <c r="L16" s="2167"/>
    </row>
    <row r="17" spans="1:12" ht="13.5" hidden="1" thickBot="1">
      <c r="A17" s="2160"/>
      <c r="B17" s="1090" t="s">
        <v>512</v>
      </c>
      <c r="C17" s="1079">
        <f>+C14+C15</f>
        <v>0</v>
      </c>
      <c r="D17" s="1079"/>
      <c r="E17" s="1080" t="s">
        <v>513</v>
      </c>
      <c r="F17" s="1079">
        <f>F14+F16</f>
        <v>0</v>
      </c>
      <c r="G17" s="1079">
        <f>G14+G16</f>
        <v>0</v>
      </c>
      <c r="H17" s="1079">
        <f>H14+H16</f>
        <v>0</v>
      </c>
      <c r="I17" s="1079">
        <f>I14+I16</f>
        <v>0</v>
      </c>
      <c r="J17" s="1079"/>
      <c r="K17" s="1079"/>
      <c r="L17" s="1079">
        <f>L14+L16</f>
        <v>0</v>
      </c>
    </row>
    <row r="18" spans="1:7" ht="12.75" hidden="1">
      <c r="A18" s="1081"/>
      <c r="B18" s="1091"/>
      <c r="F18" s="1061"/>
      <c r="G18" s="1061"/>
    </row>
    <row r="19" ht="12.75" hidden="1"/>
    <row r="20" spans="1:14" ht="12.75" hidden="1">
      <c r="A20" s="1092"/>
      <c r="B20" s="1093"/>
      <c r="C20" s="1094"/>
      <c r="D20" s="1094"/>
      <c r="E20" s="1095"/>
      <c r="F20" s="1084"/>
      <c r="G20" s="1084"/>
      <c r="H20" s="1084"/>
      <c r="I20" s="1084"/>
      <c r="J20" s="1084"/>
      <c r="K20" s="1084"/>
      <c r="L20" s="1084"/>
      <c r="M20" s="1061"/>
      <c r="N20" s="1061"/>
    </row>
    <row r="21" spans="1:12" ht="12.75" hidden="1">
      <c r="A21" s="2159"/>
      <c r="B21" s="1096"/>
      <c r="C21" s="1097"/>
      <c r="D21" s="1097"/>
      <c r="E21" s="1098"/>
      <c r="F21" s="2166"/>
      <c r="G21" s="2166"/>
      <c r="H21" s="2166"/>
      <c r="I21" s="2166"/>
      <c r="J21" s="1087"/>
      <c r="K21" s="1087"/>
      <c r="L21" s="2166"/>
    </row>
    <row r="22" spans="1:12" ht="12.75" hidden="1">
      <c r="A22" s="2163"/>
      <c r="B22" s="2161"/>
      <c r="C22" s="1077"/>
      <c r="D22" s="1077"/>
      <c r="E22" s="1078"/>
      <c r="F22" s="2167"/>
      <c r="G22" s="2167"/>
      <c r="H22" s="2167"/>
      <c r="I22" s="2167"/>
      <c r="J22" s="1089"/>
      <c r="K22" s="1089"/>
      <c r="L22" s="2167"/>
    </row>
    <row r="23" spans="1:12" ht="13.5" hidden="1" thickBot="1">
      <c r="A23" s="2160"/>
      <c r="B23" s="2162"/>
      <c r="C23" s="1079"/>
      <c r="D23" s="1079"/>
      <c r="E23" s="1080"/>
      <c r="F23" s="1079"/>
      <c r="G23" s="1079"/>
      <c r="H23" s="1079"/>
      <c r="I23" s="1079"/>
      <c r="J23" s="1079"/>
      <c r="K23" s="1079"/>
      <c r="L23" s="1079"/>
    </row>
    <row r="24" ht="12.75" hidden="1"/>
    <row r="25" spans="1:14" ht="12.75" hidden="1">
      <c r="A25" s="1082" t="s">
        <v>576</v>
      </c>
      <c r="B25" s="1083" t="s">
        <v>257</v>
      </c>
      <c r="C25" s="1084"/>
      <c r="D25" s="1084"/>
      <c r="E25" s="1085" t="s">
        <v>511</v>
      </c>
      <c r="F25" s="1084"/>
      <c r="G25" s="1084"/>
      <c r="H25" s="1084"/>
      <c r="I25" s="1084">
        <v>0</v>
      </c>
      <c r="J25" s="1084"/>
      <c r="K25" s="1084"/>
      <c r="L25" s="1084">
        <f>SUM(F25:I25)</f>
        <v>0</v>
      </c>
      <c r="N25" s="1061"/>
    </row>
    <row r="26" spans="1:12" ht="12.75" hidden="1">
      <c r="A26" s="2159" t="s">
        <v>515</v>
      </c>
      <c r="B26" s="2161" t="s">
        <v>516</v>
      </c>
      <c r="C26" s="2164"/>
      <c r="D26" s="1086"/>
      <c r="E26" s="2166"/>
      <c r="F26" s="2166"/>
      <c r="G26" s="2166"/>
      <c r="H26" s="2166"/>
      <c r="I26" s="2166"/>
      <c r="J26" s="1087"/>
      <c r="K26" s="1087"/>
      <c r="L26" s="2166"/>
    </row>
    <row r="27" spans="1:12" ht="12.75" hidden="1">
      <c r="A27" s="2163"/>
      <c r="B27" s="2162"/>
      <c r="C27" s="2165"/>
      <c r="D27" s="1088"/>
      <c r="E27" s="2167"/>
      <c r="F27" s="2167"/>
      <c r="G27" s="2167"/>
      <c r="H27" s="2167"/>
      <c r="I27" s="2167"/>
      <c r="J27" s="1089"/>
      <c r="K27" s="1089"/>
      <c r="L27" s="2167"/>
    </row>
    <row r="28" spans="1:12" ht="13.5" hidden="1" thickBot="1">
      <c r="A28" s="2160"/>
      <c r="B28" s="1090" t="s">
        <v>512</v>
      </c>
      <c r="C28" s="1079">
        <f>C25+C27</f>
        <v>0</v>
      </c>
      <c r="D28" s="1079"/>
      <c r="E28" s="1080" t="s">
        <v>513</v>
      </c>
      <c r="F28" s="1079">
        <f>F25+F27</f>
        <v>0</v>
      </c>
      <c r="G28" s="1079">
        <f>G25+G27</f>
        <v>0</v>
      </c>
      <c r="H28" s="1079">
        <f>H25+H27</f>
        <v>0</v>
      </c>
      <c r="I28" s="1079">
        <f>I25+I27</f>
        <v>0</v>
      </c>
      <c r="J28" s="1079"/>
      <c r="K28" s="1079"/>
      <c r="L28" s="1079">
        <f>L25+L27</f>
        <v>0</v>
      </c>
    </row>
    <row r="29" ht="13.5" hidden="1" thickBot="1"/>
    <row r="30" spans="1:12" ht="12.75" hidden="1">
      <c r="A30" s="1082"/>
      <c r="B30" s="1083"/>
      <c r="C30" s="1084"/>
      <c r="D30" s="1084"/>
      <c r="E30" s="1085"/>
      <c r="F30" s="1084"/>
      <c r="G30" s="1084"/>
      <c r="H30" s="1084"/>
      <c r="I30" s="1084"/>
      <c r="J30" s="1084"/>
      <c r="K30" s="1084"/>
      <c r="L30" s="1084"/>
    </row>
    <row r="31" spans="1:12" ht="12.75" hidden="1">
      <c r="A31" s="2159"/>
      <c r="B31" s="2161"/>
      <c r="C31" s="2164"/>
      <c r="D31" s="1086"/>
      <c r="E31" s="2166"/>
      <c r="F31" s="2166"/>
      <c r="G31" s="2166"/>
      <c r="H31" s="2166"/>
      <c r="I31" s="2166"/>
      <c r="J31" s="1087"/>
      <c r="K31" s="1087"/>
      <c r="L31" s="2166"/>
    </row>
    <row r="32" spans="1:12" ht="12.75" hidden="1">
      <c r="A32" s="2163"/>
      <c r="B32" s="2162"/>
      <c r="C32" s="2165"/>
      <c r="D32" s="1088"/>
      <c r="E32" s="2167"/>
      <c r="F32" s="2167"/>
      <c r="G32" s="2167"/>
      <c r="H32" s="2167"/>
      <c r="I32" s="2167"/>
      <c r="J32" s="1089"/>
      <c r="K32" s="1089"/>
      <c r="L32" s="2167"/>
    </row>
    <row r="33" spans="1:12" ht="41.25" customHeight="1" hidden="1" thickBot="1">
      <c r="A33" s="2160"/>
      <c r="B33" s="1090"/>
      <c r="C33" s="1079"/>
      <c r="D33" s="1079"/>
      <c r="E33" s="1080"/>
      <c r="F33" s="1079"/>
      <c r="G33" s="1079"/>
      <c r="H33" s="1079"/>
      <c r="I33" s="1079"/>
      <c r="J33" s="1079"/>
      <c r="K33" s="1079"/>
      <c r="L33" s="1079"/>
    </row>
    <row r="34" spans="6:12" ht="12.75">
      <c r="F34" s="1558">
        <v>2016</v>
      </c>
      <c r="G34" s="1558">
        <v>2017</v>
      </c>
      <c r="H34" s="1558">
        <v>2018</v>
      </c>
      <c r="I34" s="1558">
        <v>2019</v>
      </c>
      <c r="J34" s="1558">
        <v>2020</v>
      </c>
      <c r="K34" s="1558">
        <v>2021</v>
      </c>
      <c r="L34" s="1558" t="s">
        <v>1</v>
      </c>
    </row>
    <row r="35" ht="13.5" thickBot="1"/>
    <row r="36" spans="1:12" ht="12.75">
      <c r="A36" s="1099" t="s">
        <v>610</v>
      </c>
      <c r="B36" s="1100" t="s">
        <v>257</v>
      </c>
      <c r="C36" s="1101">
        <v>94948001</v>
      </c>
      <c r="D36" s="1101"/>
      <c r="E36" s="1102" t="s">
        <v>511</v>
      </c>
      <c r="F36" s="1101"/>
      <c r="G36" s="1101"/>
      <c r="H36" s="1101">
        <v>17893857</v>
      </c>
      <c r="I36" s="1101">
        <v>58081000</v>
      </c>
      <c r="J36" s="1101">
        <v>18555954</v>
      </c>
      <c r="K36" s="1560">
        <v>491006</v>
      </c>
      <c r="L36" s="1103">
        <f>SUM(H36:K36)</f>
        <v>95021817</v>
      </c>
    </row>
    <row r="37" spans="1:12" ht="12.75">
      <c r="A37" s="2168" t="s">
        <v>611</v>
      </c>
      <c r="B37" s="1104" t="s">
        <v>516</v>
      </c>
      <c r="C37" s="1105"/>
      <c r="D37" s="1105"/>
      <c r="E37" s="1106"/>
      <c r="F37" s="1106"/>
      <c r="G37" s="1106"/>
      <c r="H37" s="1106"/>
      <c r="I37" s="1106"/>
      <c r="J37" s="1106"/>
      <c r="K37" s="1561"/>
      <c r="L37" s="1559"/>
    </row>
    <row r="38" spans="1:12" ht="13.5" thickBot="1">
      <c r="A38" s="2169"/>
      <c r="B38" s="1107" t="s">
        <v>512</v>
      </c>
      <c r="C38" s="1108">
        <v>94948001</v>
      </c>
      <c r="D38" s="1108"/>
      <c r="E38" s="1109" t="s">
        <v>513</v>
      </c>
      <c r="F38" s="1108">
        <v>0</v>
      </c>
      <c r="G38" s="1108">
        <v>0</v>
      </c>
      <c r="H38" s="1108">
        <f>+H36</f>
        <v>17893857</v>
      </c>
      <c r="I38" s="1108">
        <f>+I36</f>
        <v>58081000</v>
      </c>
      <c r="J38" s="1108">
        <f>+J36</f>
        <v>18555954</v>
      </c>
      <c r="K38" s="1108">
        <f>+K36</f>
        <v>491006</v>
      </c>
      <c r="L38" s="1108">
        <f>+L36</f>
        <v>95021817</v>
      </c>
    </row>
    <row r="40" ht="13.5" thickBot="1"/>
    <row r="41" spans="1:12" ht="12.75">
      <c r="A41" s="1099" t="s">
        <v>612</v>
      </c>
      <c r="B41" s="1100" t="s">
        <v>257</v>
      </c>
      <c r="C41" s="1101">
        <v>6198000</v>
      </c>
      <c r="D41" s="1101"/>
      <c r="E41" s="1102" t="s">
        <v>511</v>
      </c>
      <c r="F41" s="1101"/>
      <c r="G41" s="1101"/>
      <c r="H41" s="1101"/>
      <c r="I41" s="1101"/>
      <c r="J41" s="1101">
        <v>355212</v>
      </c>
      <c r="K41" s="1560">
        <v>5842788</v>
      </c>
      <c r="L41" s="1103">
        <v>6198000</v>
      </c>
    </row>
    <row r="42" spans="1:12" ht="12.75">
      <c r="A42" s="2168" t="s">
        <v>613</v>
      </c>
      <c r="B42" s="1104" t="s">
        <v>516</v>
      </c>
      <c r="C42" s="1105"/>
      <c r="D42" s="1105"/>
      <c r="E42" s="1106"/>
      <c r="F42" s="1106"/>
      <c r="G42" s="1106"/>
      <c r="H42" s="1106"/>
      <c r="I42" s="1106"/>
      <c r="J42" s="1106"/>
      <c r="K42" s="1561"/>
      <c r="L42" s="1559"/>
    </row>
    <row r="43" spans="1:12" ht="13.5" thickBot="1">
      <c r="A43" s="2169"/>
      <c r="B43" s="1107" t="s">
        <v>512</v>
      </c>
      <c r="C43" s="1108">
        <f>+C41</f>
        <v>6198000</v>
      </c>
      <c r="D43" s="1108"/>
      <c r="E43" s="1109" t="s">
        <v>513</v>
      </c>
      <c r="F43" s="1108">
        <v>0</v>
      </c>
      <c r="G43" s="1108">
        <v>0</v>
      </c>
      <c r="H43" s="1108"/>
      <c r="I43" s="1108"/>
      <c r="J43" s="1108">
        <f>SUM(J41:J42)</f>
        <v>355212</v>
      </c>
      <c r="K43" s="1108">
        <f>SUM(K41:K42)</f>
        <v>5842788</v>
      </c>
      <c r="L43" s="1110">
        <v>6198000</v>
      </c>
    </row>
  </sheetData>
  <sheetProtection/>
  <mergeCells count="46">
    <mergeCell ref="I31:I32"/>
    <mergeCell ref="L31:L32"/>
    <mergeCell ref="A37:A38"/>
    <mergeCell ref="A42:A43"/>
    <mergeCell ref="H26:H27"/>
    <mergeCell ref="I26:I27"/>
    <mergeCell ref="L26:L27"/>
    <mergeCell ref="A31:A33"/>
    <mergeCell ref="B31:B32"/>
    <mergeCell ref="C31:C32"/>
    <mergeCell ref="E31:E32"/>
    <mergeCell ref="F31:F32"/>
    <mergeCell ref="G31:G32"/>
    <mergeCell ref="H31:H32"/>
    <mergeCell ref="A26:A28"/>
    <mergeCell ref="B26:B27"/>
    <mergeCell ref="C26:C27"/>
    <mergeCell ref="E26:E27"/>
    <mergeCell ref="F26:F27"/>
    <mergeCell ref="G26:G27"/>
    <mergeCell ref="A21:A23"/>
    <mergeCell ref="F21:F22"/>
    <mergeCell ref="G21:G22"/>
    <mergeCell ref="H21:H22"/>
    <mergeCell ref="I21:I22"/>
    <mergeCell ref="L21:L22"/>
    <mergeCell ref="B22:B23"/>
    <mergeCell ref="E15:E16"/>
    <mergeCell ref="F15:F16"/>
    <mergeCell ref="G15:G16"/>
    <mergeCell ref="H15:H16"/>
    <mergeCell ref="I15:I16"/>
    <mergeCell ref="L15:L16"/>
    <mergeCell ref="A10:A11"/>
    <mergeCell ref="B10:B11"/>
    <mergeCell ref="A15:A17"/>
    <mergeCell ref="B15:B16"/>
    <mergeCell ref="C15:C16"/>
    <mergeCell ref="D15:D16"/>
    <mergeCell ref="E1:L1"/>
    <mergeCell ref="B2:L2"/>
    <mergeCell ref="A3:L3"/>
    <mergeCell ref="A4:L4"/>
    <mergeCell ref="B6:D6"/>
    <mergeCell ref="E6:G6"/>
    <mergeCell ref="H6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277" customWidth="1"/>
    <col min="2" max="2" width="8.28125" style="271" customWidth="1"/>
    <col min="3" max="3" width="52.00390625" style="271" customWidth="1"/>
    <col min="4" max="6" width="8.28125" style="271" bestFit="1" customWidth="1"/>
    <col min="7" max="7" width="7.421875" style="271" bestFit="1" customWidth="1"/>
    <col min="8" max="8" width="8.421875" style="271" bestFit="1" customWidth="1"/>
    <col min="9" max="9" width="8.8515625" style="271" hidden="1" customWidth="1"/>
    <col min="10" max="12" width="8.28125" style="271" bestFit="1" customWidth="1"/>
    <col min="13" max="13" width="7.421875" style="271" bestFit="1" customWidth="1"/>
    <col min="14" max="14" width="8.421875" style="271" bestFit="1" customWidth="1"/>
    <col min="15" max="15" width="8.8515625" style="271" hidden="1" customWidth="1"/>
    <col min="16" max="16" width="12.421875" style="271" bestFit="1" customWidth="1"/>
    <col min="17" max="17" width="4.57421875" style="271" hidden="1" customWidth="1"/>
    <col min="18" max="18" width="0" style="271" hidden="1" customWidth="1"/>
    <col min="19" max="19" width="10.00390625" style="271" hidden="1" customWidth="1"/>
    <col min="20" max="20" width="0" style="271" hidden="1" customWidth="1"/>
    <col min="21" max="16384" width="9.140625" style="271" customWidth="1"/>
  </cols>
  <sheetData>
    <row r="1" spans="1:16" s="112" customFormat="1" ht="21" customHeight="1" hidden="1">
      <c r="A1" s="108"/>
      <c r="B1" s="109"/>
      <c r="C1" s="110"/>
      <c r="D1" s="111"/>
      <c r="E1" s="111"/>
      <c r="F1" s="111"/>
      <c r="G1" s="111"/>
      <c r="H1" s="111"/>
      <c r="I1" s="111"/>
      <c r="J1" s="2170"/>
      <c r="K1" s="2170"/>
      <c r="L1" s="2170"/>
      <c r="M1" s="2170"/>
      <c r="N1" s="2170"/>
      <c r="O1" s="2170"/>
      <c r="P1" s="2170"/>
    </row>
    <row r="2" spans="1:16" s="115" customFormat="1" ht="25.5" customHeight="1" hidden="1" thickBot="1">
      <c r="A2" s="1912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</row>
    <row r="3" spans="1:20" s="118" customFormat="1" ht="40.5" customHeight="1" hidden="1" thickBot="1">
      <c r="A3" s="116"/>
      <c r="B3" s="116"/>
      <c r="C3" s="116"/>
      <c r="D3" s="1918" t="s">
        <v>4</v>
      </c>
      <c r="E3" s="1919"/>
      <c r="F3" s="1919"/>
      <c r="G3" s="1919"/>
      <c r="H3" s="1919"/>
      <c r="I3" s="1920"/>
      <c r="J3" s="1918" t="s">
        <v>104</v>
      </c>
      <c r="K3" s="1919"/>
      <c r="L3" s="1919"/>
      <c r="M3" s="1919"/>
      <c r="N3" s="1919"/>
      <c r="O3" s="1920"/>
      <c r="P3" s="2171" t="s">
        <v>152</v>
      </c>
      <c r="Q3" s="2172"/>
      <c r="R3" s="2172"/>
      <c r="S3" s="2173"/>
      <c r="T3" s="453"/>
    </row>
    <row r="4" spans="1:19" ht="24.75" hidden="1" thickBot="1">
      <c r="A4" s="1910" t="s">
        <v>106</v>
      </c>
      <c r="B4" s="1911"/>
      <c r="C4" s="437" t="s">
        <v>107</v>
      </c>
      <c r="D4" s="427" t="s">
        <v>64</v>
      </c>
      <c r="E4" s="119" t="s">
        <v>220</v>
      </c>
      <c r="F4" s="119" t="s">
        <v>223</v>
      </c>
      <c r="G4" s="119" t="s">
        <v>225</v>
      </c>
      <c r="H4" s="119" t="s">
        <v>237</v>
      </c>
      <c r="I4" s="398" t="s">
        <v>229</v>
      </c>
      <c r="J4" s="427" t="s">
        <v>64</v>
      </c>
      <c r="K4" s="119" t="s">
        <v>220</v>
      </c>
      <c r="L4" s="119" t="s">
        <v>223</v>
      </c>
      <c r="M4" s="119" t="s">
        <v>225</v>
      </c>
      <c r="N4" s="119" t="s">
        <v>237</v>
      </c>
      <c r="O4" s="398" t="s">
        <v>229</v>
      </c>
      <c r="P4" s="427" t="s">
        <v>238</v>
      </c>
      <c r="Q4" s="119" t="s">
        <v>234</v>
      </c>
      <c r="R4" s="119" t="s">
        <v>223</v>
      </c>
      <c r="S4" s="398" t="s">
        <v>223</v>
      </c>
    </row>
    <row r="5" spans="1:19" s="124" customFormat="1" ht="12.75" customHeight="1" hidden="1" thickBot="1">
      <c r="A5" s="121">
        <v>1</v>
      </c>
      <c r="B5" s="122">
        <v>2</v>
      </c>
      <c r="C5" s="262">
        <v>3</v>
      </c>
      <c r="D5" s="121"/>
      <c r="E5" s="122"/>
      <c r="F5" s="122"/>
      <c r="G5" s="122"/>
      <c r="H5" s="122"/>
      <c r="I5" s="123"/>
      <c r="J5" s="121"/>
      <c r="K5" s="122"/>
      <c r="L5" s="122"/>
      <c r="M5" s="122"/>
      <c r="N5" s="122"/>
      <c r="O5" s="123"/>
      <c r="P5" s="121"/>
      <c r="Q5" s="122"/>
      <c r="R5" s="122"/>
      <c r="S5" s="123"/>
    </row>
    <row r="6" spans="1:19" s="124" customFormat="1" ht="15.75" customHeight="1" hidden="1" thickBot="1">
      <c r="A6" s="125"/>
      <c r="B6" s="126"/>
      <c r="C6" s="126" t="s">
        <v>108</v>
      </c>
      <c r="D6" s="404"/>
      <c r="E6" s="180"/>
      <c r="F6" s="180"/>
      <c r="G6" s="180"/>
      <c r="H6" s="180"/>
      <c r="I6" s="244"/>
      <c r="J6" s="404"/>
      <c r="K6" s="180"/>
      <c r="L6" s="180"/>
      <c r="M6" s="180"/>
      <c r="N6" s="180"/>
      <c r="O6" s="244"/>
      <c r="P6" s="404"/>
      <c r="Q6" s="180"/>
      <c r="R6" s="180"/>
      <c r="S6" s="244"/>
    </row>
    <row r="7" spans="1:19" s="129" customFormat="1" ht="12" customHeight="1" hidden="1" thickBot="1">
      <c r="A7" s="121" t="s">
        <v>26</v>
      </c>
      <c r="B7" s="127"/>
      <c r="C7" s="438" t="s">
        <v>109</v>
      </c>
      <c r="D7" s="405"/>
      <c r="E7" s="181"/>
      <c r="F7" s="181"/>
      <c r="G7" s="181"/>
      <c r="H7" s="462"/>
      <c r="I7" s="337"/>
      <c r="J7" s="405"/>
      <c r="K7" s="181"/>
      <c r="L7" s="181"/>
      <c r="M7" s="181"/>
      <c r="N7" s="462"/>
      <c r="O7" s="337"/>
      <c r="P7" s="405"/>
      <c r="Q7" s="181"/>
      <c r="R7" s="181"/>
      <c r="S7" s="128"/>
    </row>
    <row r="8" spans="1:19" s="129" customFormat="1" ht="12" customHeight="1" hidden="1" thickBot="1">
      <c r="A8" s="121" t="s">
        <v>9</v>
      </c>
      <c r="B8" s="127"/>
      <c r="C8" s="438" t="s">
        <v>115</v>
      </c>
      <c r="D8" s="405">
        <f aca="true" t="shared" si="0" ref="D8:M8">SUM(D9:D12)</f>
        <v>0</v>
      </c>
      <c r="E8" s="181">
        <f t="shared" si="0"/>
        <v>0</v>
      </c>
      <c r="F8" s="181">
        <f t="shared" si="0"/>
        <v>0</v>
      </c>
      <c r="G8" s="181">
        <f>SUM(G9:G12)</f>
        <v>0</v>
      </c>
      <c r="H8" s="462">
        <f>SUM(H9:H12)</f>
        <v>0</v>
      </c>
      <c r="I8" s="337"/>
      <c r="J8" s="405">
        <f t="shared" si="0"/>
        <v>0</v>
      </c>
      <c r="K8" s="181">
        <f t="shared" si="0"/>
        <v>0</v>
      </c>
      <c r="L8" s="181">
        <f t="shared" si="0"/>
        <v>0</v>
      </c>
      <c r="M8" s="181">
        <f t="shared" si="0"/>
        <v>0</v>
      </c>
      <c r="N8" s="462" t="s">
        <v>239</v>
      </c>
      <c r="O8" s="337"/>
      <c r="P8" s="405"/>
      <c r="Q8" s="181"/>
      <c r="R8" s="181"/>
      <c r="S8" s="128"/>
    </row>
    <row r="9" spans="1:19" s="134" customFormat="1" ht="12" customHeight="1" hidden="1">
      <c r="A9" s="132"/>
      <c r="B9" s="131" t="s">
        <v>116</v>
      </c>
      <c r="C9" s="417" t="s">
        <v>71</v>
      </c>
      <c r="D9" s="407"/>
      <c r="E9" s="182"/>
      <c r="F9" s="182"/>
      <c r="G9" s="182"/>
      <c r="H9" s="463"/>
      <c r="I9" s="426"/>
      <c r="J9" s="407"/>
      <c r="K9" s="182"/>
      <c r="L9" s="182"/>
      <c r="M9" s="182"/>
      <c r="N9" s="463"/>
      <c r="O9" s="426"/>
      <c r="P9" s="407"/>
      <c r="Q9" s="182"/>
      <c r="R9" s="182"/>
      <c r="S9" s="133"/>
    </row>
    <row r="10" spans="1:19" s="134" customFormat="1" ht="12" customHeight="1" hidden="1">
      <c r="A10" s="132"/>
      <c r="B10" s="131" t="s">
        <v>117</v>
      </c>
      <c r="C10" s="418" t="s">
        <v>118</v>
      </c>
      <c r="D10" s="407"/>
      <c r="E10" s="182"/>
      <c r="F10" s="182"/>
      <c r="G10" s="182"/>
      <c r="H10" s="463"/>
      <c r="I10" s="448"/>
      <c r="J10" s="407"/>
      <c r="K10" s="182"/>
      <c r="L10" s="182"/>
      <c r="M10" s="182"/>
      <c r="N10" s="463"/>
      <c r="O10" s="448"/>
      <c r="P10" s="407"/>
      <c r="Q10" s="182"/>
      <c r="R10" s="182"/>
      <c r="S10" s="133"/>
    </row>
    <row r="11" spans="1:19" s="134" customFormat="1" ht="12" customHeight="1" hidden="1">
      <c r="A11" s="132"/>
      <c r="B11" s="131" t="s">
        <v>119</v>
      </c>
      <c r="C11" s="418" t="s">
        <v>72</v>
      </c>
      <c r="D11" s="407"/>
      <c r="E11" s="182"/>
      <c r="F11" s="182"/>
      <c r="G11" s="182"/>
      <c r="H11" s="463"/>
      <c r="I11" s="448"/>
      <c r="J11" s="407"/>
      <c r="K11" s="182"/>
      <c r="L11" s="182"/>
      <c r="M11" s="182"/>
      <c r="N11" s="463"/>
      <c r="O11" s="448"/>
      <c r="P11" s="407"/>
      <c r="Q11" s="182"/>
      <c r="R11" s="182"/>
      <c r="S11" s="133"/>
    </row>
    <row r="12" spans="1:19" s="134" customFormat="1" ht="12" customHeight="1" hidden="1" thickBot="1">
      <c r="A12" s="132"/>
      <c r="B12" s="131" t="s">
        <v>120</v>
      </c>
      <c r="C12" s="418" t="s">
        <v>118</v>
      </c>
      <c r="D12" s="407"/>
      <c r="E12" s="182"/>
      <c r="F12" s="182"/>
      <c r="G12" s="182"/>
      <c r="H12" s="463"/>
      <c r="I12" s="454"/>
      <c r="J12" s="407"/>
      <c r="K12" s="182"/>
      <c r="L12" s="182"/>
      <c r="M12" s="182"/>
      <c r="N12" s="463"/>
      <c r="O12" s="454"/>
      <c r="P12" s="407"/>
      <c r="Q12" s="182"/>
      <c r="R12" s="182"/>
      <c r="S12" s="133"/>
    </row>
    <row r="13" spans="1:19" s="134" customFormat="1" ht="12" customHeight="1" hidden="1" thickBot="1">
      <c r="A13" s="136" t="s">
        <v>10</v>
      </c>
      <c r="B13" s="137"/>
      <c r="C13" s="416" t="s">
        <v>121</v>
      </c>
      <c r="D13" s="405">
        <f aca="true" t="shared" si="1" ref="D13:M13">SUM(D14:D15)</f>
        <v>0</v>
      </c>
      <c r="E13" s="181">
        <f t="shared" si="1"/>
        <v>0</v>
      </c>
      <c r="F13" s="181">
        <f t="shared" si="1"/>
        <v>0</v>
      </c>
      <c r="G13" s="181">
        <f>SUM(G14:G15)</f>
        <v>0</v>
      </c>
      <c r="H13" s="462"/>
      <c r="I13" s="337"/>
      <c r="J13" s="405">
        <f t="shared" si="1"/>
        <v>0</v>
      </c>
      <c r="K13" s="181">
        <f t="shared" si="1"/>
        <v>0</v>
      </c>
      <c r="L13" s="181">
        <f t="shared" si="1"/>
        <v>0</v>
      </c>
      <c r="M13" s="181">
        <f t="shared" si="1"/>
        <v>0</v>
      </c>
      <c r="N13" s="462"/>
      <c r="O13" s="337"/>
      <c r="P13" s="405"/>
      <c r="Q13" s="181"/>
      <c r="R13" s="181"/>
      <c r="S13" s="128"/>
    </row>
    <row r="14" spans="1:19" s="129" customFormat="1" ht="12" customHeight="1" hidden="1">
      <c r="A14" s="138"/>
      <c r="B14" s="139" t="s">
        <v>122</v>
      </c>
      <c r="C14" s="439" t="s">
        <v>123</v>
      </c>
      <c r="D14" s="408"/>
      <c r="E14" s="183"/>
      <c r="F14" s="183"/>
      <c r="G14" s="183"/>
      <c r="H14" s="464"/>
      <c r="I14" s="426"/>
      <c r="J14" s="408"/>
      <c r="K14" s="183"/>
      <c r="L14" s="183"/>
      <c r="M14" s="183"/>
      <c r="N14" s="464"/>
      <c r="O14" s="426"/>
      <c r="P14" s="408"/>
      <c r="Q14" s="183"/>
      <c r="R14" s="183"/>
      <c r="S14" s="140"/>
    </row>
    <row r="15" spans="1:19" s="129" customFormat="1" ht="12" customHeight="1" hidden="1" thickBot="1">
      <c r="A15" s="141"/>
      <c r="B15" s="142" t="s">
        <v>124</v>
      </c>
      <c r="C15" s="440" t="s">
        <v>125</v>
      </c>
      <c r="D15" s="409"/>
      <c r="E15" s="184"/>
      <c r="F15" s="184"/>
      <c r="G15" s="184"/>
      <c r="H15" s="465"/>
      <c r="I15" s="454"/>
      <c r="J15" s="409"/>
      <c r="K15" s="184"/>
      <c r="L15" s="184"/>
      <c r="M15" s="184"/>
      <c r="N15" s="465"/>
      <c r="O15" s="454"/>
      <c r="P15" s="409"/>
      <c r="Q15" s="184"/>
      <c r="R15" s="184"/>
      <c r="S15" s="143"/>
    </row>
    <row r="16" spans="1:19" s="129" customFormat="1" ht="12" customHeight="1" hidden="1" thickBot="1">
      <c r="A16" s="136" t="s">
        <v>11</v>
      </c>
      <c r="B16" s="127"/>
      <c r="C16" s="416" t="s">
        <v>126</v>
      </c>
      <c r="D16" s="410"/>
      <c r="E16" s="185"/>
      <c r="F16" s="185"/>
      <c r="G16" s="185"/>
      <c r="H16" s="466"/>
      <c r="I16" s="337"/>
      <c r="J16" s="410"/>
      <c r="K16" s="185"/>
      <c r="L16" s="185"/>
      <c r="M16" s="185"/>
      <c r="N16" s="466" t="s">
        <v>239</v>
      </c>
      <c r="O16" s="337"/>
      <c r="P16" s="410"/>
      <c r="Q16" s="185"/>
      <c r="R16" s="185"/>
      <c r="S16" s="144"/>
    </row>
    <row r="17" spans="1:19" s="129" customFormat="1" ht="12" customHeight="1" hidden="1" thickBot="1">
      <c r="A17" s="121" t="s">
        <v>12</v>
      </c>
      <c r="B17" s="145"/>
      <c r="C17" s="416" t="s">
        <v>127</v>
      </c>
      <c r="D17" s="405">
        <f aca="true" t="shared" si="2" ref="D17:M17">D7+D8+D13+D16</f>
        <v>0</v>
      </c>
      <c r="E17" s="181">
        <f t="shared" si="2"/>
        <v>0</v>
      </c>
      <c r="F17" s="181">
        <f t="shared" si="2"/>
        <v>0</v>
      </c>
      <c r="G17" s="181">
        <f t="shared" si="2"/>
        <v>0</v>
      </c>
      <c r="H17" s="462" t="s">
        <v>239</v>
      </c>
      <c r="I17" s="337"/>
      <c r="J17" s="405">
        <f t="shared" si="2"/>
        <v>0</v>
      </c>
      <c r="K17" s="181">
        <f t="shared" si="2"/>
        <v>0</v>
      </c>
      <c r="L17" s="181">
        <f t="shared" si="2"/>
        <v>0</v>
      </c>
      <c r="M17" s="181">
        <f t="shared" si="2"/>
        <v>0</v>
      </c>
      <c r="N17" s="462" t="s">
        <v>239</v>
      </c>
      <c r="O17" s="337"/>
      <c r="P17" s="405"/>
      <c r="Q17" s="181"/>
      <c r="R17" s="181"/>
      <c r="S17" s="128"/>
    </row>
    <row r="18" spans="1:19" s="134" customFormat="1" ht="12" customHeight="1" hidden="1" thickBot="1">
      <c r="A18" s="146" t="s">
        <v>13</v>
      </c>
      <c r="B18" s="147"/>
      <c r="C18" s="441" t="s">
        <v>128</v>
      </c>
      <c r="D18" s="411">
        <f aca="true" t="shared" si="3" ref="D18:M18">SUM(D19:D20)</f>
        <v>0</v>
      </c>
      <c r="E18" s="186">
        <f t="shared" si="3"/>
        <v>0</v>
      </c>
      <c r="F18" s="186">
        <f t="shared" si="3"/>
        <v>0</v>
      </c>
      <c r="G18" s="186">
        <f>SUM(G19:G20)</f>
        <v>0</v>
      </c>
      <c r="H18" s="467" t="s">
        <v>239</v>
      </c>
      <c r="I18" s="337"/>
      <c r="J18" s="411">
        <f t="shared" si="3"/>
        <v>0</v>
      </c>
      <c r="K18" s="186">
        <f t="shared" si="3"/>
        <v>0</v>
      </c>
      <c r="L18" s="186">
        <f t="shared" si="3"/>
        <v>0</v>
      </c>
      <c r="M18" s="186">
        <f t="shared" si="3"/>
        <v>0</v>
      </c>
      <c r="N18" s="467" t="s">
        <v>239</v>
      </c>
      <c r="O18" s="337"/>
      <c r="P18" s="405"/>
      <c r="Q18" s="181"/>
      <c r="R18" s="181"/>
      <c r="S18" s="128"/>
    </row>
    <row r="19" spans="1:19" s="134" customFormat="1" ht="15" customHeight="1" hidden="1">
      <c r="A19" s="130"/>
      <c r="B19" s="148" t="s">
        <v>129</v>
      </c>
      <c r="C19" s="439" t="s">
        <v>130</v>
      </c>
      <c r="D19" s="408"/>
      <c r="E19" s="183"/>
      <c r="F19" s="183"/>
      <c r="G19" s="183"/>
      <c r="H19" s="464"/>
      <c r="I19" s="426"/>
      <c r="J19" s="408"/>
      <c r="K19" s="183"/>
      <c r="L19" s="183"/>
      <c r="M19" s="183"/>
      <c r="N19" s="464" t="s">
        <v>239</v>
      </c>
      <c r="O19" s="426"/>
      <c r="P19" s="414"/>
      <c r="Q19" s="415"/>
      <c r="R19" s="415"/>
      <c r="S19" s="241"/>
    </row>
    <row r="20" spans="1:19" s="134" customFormat="1" ht="15" customHeight="1" hidden="1" thickBot="1">
      <c r="A20" s="149"/>
      <c r="B20" s="150" t="s">
        <v>131</v>
      </c>
      <c r="C20" s="442" t="s">
        <v>132</v>
      </c>
      <c r="D20" s="412"/>
      <c r="E20" s="187"/>
      <c r="F20" s="187"/>
      <c r="G20" s="187"/>
      <c r="H20" s="468"/>
      <c r="I20" s="454"/>
      <c r="J20" s="412"/>
      <c r="K20" s="187"/>
      <c r="L20" s="187"/>
      <c r="M20" s="187"/>
      <c r="N20" s="468"/>
      <c r="O20" s="454"/>
      <c r="P20" s="412"/>
      <c r="Q20" s="187"/>
      <c r="R20" s="187"/>
      <c r="S20" s="151"/>
    </row>
    <row r="21" spans="1:19" ht="13.5" hidden="1" thickBot="1">
      <c r="A21" s="152" t="s">
        <v>56</v>
      </c>
      <c r="B21" s="272"/>
      <c r="C21" s="420" t="s">
        <v>133</v>
      </c>
      <c r="D21" s="410"/>
      <c r="E21" s="185"/>
      <c r="F21" s="185"/>
      <c r="G21" s="185"/>
      <c r="H21" s="466"/>
      <c r="I21" s="337"/>
      <c r="J21" s="410"/>
      <c r="K21" s="185"/>
      <c r="L21" s="185"/>
      <c r="M21" s="185"/>
      <c r="N21" s="466"/>
      <c r="O21" s="337"/>
      <c r="P21" s="410"/>
      <c r="Q21" s="185"/>
      <c r="R21" s="185"/>
      <c r="S21" s="144"/>
    </row>
    <row r="22" spans="1:19" s="124" customFormat="1" ht="16.5" customHeight="1" hidden="1" thickBot="1">
      <c r="A22" s="152" t="s">
        <v>57</v>
      </c>
      <c r="B22" s="273"/>
      <c r="C22" s="443" t="s">
        <v>134</v>
      </c>
      <c r="D22" s="413">
        <f aca="true" t="shared" si="4" ref="D22:M22">D17+D21+D18</f>
        <v>0</v>
      </c>
      <c r="E22" s="188">
        <f t="shared" si="4"/>
        <v>0</v>
      </c>
      <c r="F22" s="188">
        <f t="shared" si="4"/>
        <v>0</v>
      </c>
      <c r="G22" s="188">
        <f t="shared" si="4"/>
        <v>0</v>
      </c>
      <c r="H22" s="469" t="s">
        <v>239</v>
      </c>
      <c r="I22" s="337"/>
      <c r="J22" s="413">
        <f t="shared" si="4"/>
        <v>0</v>
      </c>
      <c r="K22" s="188">
        <f t="shared" si="4"/>
        <v>0</v>
      </c>
      <c r="L22" s="188">
        <f t="shared" si="4"/>
        <v>0</v>
      </c>
      <c r="M22" s="188">
        <f t="shared" si="4"/>
        <v>0</v>
      </c>
      <c r="N22" s="469" t="s">
        <v>239</v>
      </c>
      <c r="O22" s="337"/>
      <c r="P22" s="413"/>
      <c r="Q22" s="188"/>
      <c r="R22" s="188"/>
      <c r="S22" s="173"/>
    </row>
    <row r="23" spans="1:19" s="159" customFormat="1" ht="12" customHeight="1" hidden="1">
      <c r="A23" s="156"/>
      <c r="B23" s="156"/>
      <c r="C23" s="157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</row>
    <row r="24" spans="1:18" ht="12" customHeight="1" hidden="1" thickBot="1">
      <c r="A24" s="160"/>
      <c r="B24" s="161"/>
      <c r="C24" s="161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19" ht="12" customHeight="1" hidden="1" thickBot="1">
      <c r="A25" s="163"/>
      <c r="B25" s="164"/>
      <c r="C25" s="165" t="s">
        <v>135</v>
      </c>
      <c r="D25" s="179"/>
      <c r="E25" s="179"/>
      <c r="F25" s="179"/>
      <c r="G25" s="179"/>
      <c r="H25" s="179"/>
      <c r="I25" s="179"/>
      <c r="J25" s="188"/>
      <c r="K25" s="188"/>
      <c r="L25" s="179"/>
      <c r="M25" s="179"/>
      <c r="N25" s="179"/>
      <c r="O25" s="179"/>
      <c r="P25" s="155"/>
      <c r="Q25" s="155"/>
      <c r="R25" s="155"/>
      <c r="S25" s="155"/>
    </row>
    <row r="26" spans="1:19" ht="12" customHeight="1" hidden="1" thickBot="1">
      <c r="A26" s="136" t="s">
        <v>26</v>
      </c>
      <c r="B26" s="166"/>
      <c r="C26" s="416" t="s">
        <v>136</v>
      </c>
      <c r="D26" s="405">
        <f aca="true" t="shared" si="5" ref="D26:M26">SUM(D27:D31)</f>
        <v>0</v>
      </c>
      <c r="E26" s="181">
        <f t="shared" si="5"/>
        <v>0</v>
      </c>
      <c r="F26" s="181">
        <f t="shared" si="5"/>
        <v>0</v>
      </c>
      <c r="G26" s="181">
        <f>SUM(G27:G31)</f>
        <v>0</v>
      </c>
      <c r="H26" s="470" t="s">
        <v>239</v>
      </c>
      <c r="I26" s="401"/>
      <c r="J26" s="405">
        <f t="shared" si="5"/>
        <v>0</v>
      </c>
      <c r="K26" s="181">
        <f t="shared" si="5"/>
        <v>0</v>
      </c>
      <c r="L26" s="181">
        <f t="shared" si="5"/>
        <v>0</v>
      </c>
      <c r="M26" s="181">
        <f t="shared" si="5"/>
        <v>0</v>
      </c>
      <c r="N26" s="470" t="s">
        <v>239</v>
      </c>
      <c r="O26" s="401"/>
      <c r="P26" s="455"/>
      <c r="Q26" s="399"/>
      <c r="R26" s="128"/>
      <c r="S26" s="128"/>
    </row>
    <row r="27" spans="1:19" ht="12" customHeight="1" hidden="1">
      <c r="A27" s="167"/>
      <c r="B27" s="168" t="s">
        <v>110</v>
      </c>
      <c r="C27" s="417" t="s">
        <v>137</v>
      </c>
      <c r="D27" s="423"/>
      <c r="E27" s="189"/>
      <c r="F27" s="189"/>
      <c r="G27" s="189"/>
      <c r="H27" s="471"/>
      <c r="I27" s="402"/>
      <c r="J27" s="423"/>
      <c r="K27" s="189"/>
      <c r="L27" s="189"/>
      <c r="M27" s="189"/>
      <c r="N27" s="471"/>
      <c r="O27" s="402"/>
      <c r="P27" s="456"/>
      <c r="Q27" s="430"/>
      <c r="R27" s="133"/>
      <c r="S27" s="133"/>
    </row>
    <row r="28" spans="1:19" ht="12" customHeight="1" hidden="1">
      <c r="A28" s="169"/>
      <c r="B28" s="170" t="s">
        <v>111</v>
      </c>
      <c r="C28" s="418" t="s">
        <v>50</v>
      </c>
      <c r="D28" s="424"/>
      <c r="E28" s="190"/>
      <c r="F28" s="190"/>
      <c r="G28" s="190"/>
      <c r="H28" s="472"/>
      <c r="I28" s="444"/>
      <c r="J28" s="424"/>
      <c r="K28" s="190"/>
      <c r="L28" s="190"/>
      <c r="M28" s="190"/>
      <c r="N28" s="472"/>
      <c r="O28" s="444"/>
      <c r="P28" s="456"/>
      <c r="Q28" s="430"/>
      <c r="R28" s="133"/>
      <c r="S28" s="133"/>
    </row>
    <row r="29" spans="1:19" ht="12" customHeight="1" hidden="1">
      <c r="A29" s="169"/>
      <c r="B29" s="170" t="s">
        <v>112</v>
      </c>
      <c r="C29" s="418" t="s">
        <v>138</v>
      </c>
      <c r="D29" s="424"/>
      <c r="E29" s="190"/>
      <c r="F29" s="190"/>
      <c r="G29" s="190"/>
      <c r="H29" s="472"/>
      <c r="I29" s="444"/>
      <c r="J29" s="424"/>
      <c r="K29" s="190"/>
      <c r="L29" s="190"/>
      <c r="M29" s="190"/>
      <c r="N29" s="472"/>
      <c r="O29" s="444"/>
      <c r="P29" s="456"/>
      <c r="Q29" s="430"/>
      <c r="R29" s="133"/>
      <c r="S29" s="133"/>
    </row>
    <row r="30" spans="1:19" s="159" customFormat="1" ht="12" customHeight="1" hidden="1">
      <c r="A30" s="169"/>
      <c r="B30" s="170" t="s">
        <v>113</v>
      </c>
      <c r="C30" s="418" t="s">
        <v>80</v>
      </c>
      <c r="D30" s="424"/>
      <c r="E30" s="190"/>
      <c r="F30" s="190"/>
      <c r="G30" s="190"/>
      <c r="H30" s="472"/>
      <c r="I30" s="445"/>
      <c r="J30" s="424"/>
      <c r="K30" s="190"/>
      <c r="L30" s="190"/>
      <c r="M30" s="190"/>
      <c r="N30" s="472"/>
      <c r="O30" s="445"/>
      <c r="P30" s="456"/>
      <c r="Q30" s="430"/>
      <c r="R30" s="133"/>
      <c r="S30" s="133"/>
    </row>
    <row r="31" spans="1:19" ht="12" customHeight="1" hidden="1" thickBot="1">
      <c r="A31" s="169"/>
      <c r="B31" s="170" t="s">
        <v>49</v>
      </c>
      <c r="C31" s="418" t="s">
        <v>82</v>
      </c>
      <c r="D31" s="424"/>
      <c r="E31" s="190"/>
      <c r="F31" s="190"/>
      <c r="G31" s="190"/>
      <c r="H31" s="472"/>
      <c r="I31" s="446"/>
      <c r="J31" s="424"/>
      <c r="K31" s="190"/>
      <c r="L31" s="190"/>
      <c r="M31" s="190"/>
      <c r="N31" s="472"/>
      <c r="O31" s="446"/>
      <c r="P31" s="457"/>
      <c r="Q31" s="431"/>
      <c r="R31" s="171"/>
      <c r="S31" s="171"/>
    </row>
    <row r="32" spans="1:19" ht="12" customHeight="1" hidden="1" thickBot="1">
      <c r="A32" s="136" t="s">
        <v>27</v>
      </c>
      <c r="B32" s="166"/>
      <c r="C32" s="416" t="s">
        <v>139</v>
      </c>
      <c r="D32" s="405">
        <f>SUM(D33:D36)</f>
        <v>0</v>
      </c>
      <c r="E32" s="181">
        <f>SUM(E33:E36)</f>
        <v>0</v>
      </c>
      <c r="F32" s="181">
        <f>SUM(F33:F36)</f>
        <v>0</v>
      </c>
      <c r="G32" s="181">
        <f>SUM(G33:G36)</f>
        <v>0</v>
      </c>
      <c r="H32" s="470"/>
      <c r="I32" s="403"/>
      <c r="J32" s="405"/>
      <c r="K32" s="181"/>
      <c r="L32" s="181">
        <f>SUM(L33:L36)</f>
        <v>0</v>
      </c>
      <c r="M32" s="181">
        <f>SUM(M33:M36)</f>
        <v>0</v>
      </c>
      <c r="N32" s="470"/>
      <c r="O32" s="403"/>
      <c r="P32" s="455"/>
      <c r="Q32" s="399"/>
      <c r="R32" s="128"/>
      <c r="S32" s="128"/>
    </row>
    <row r="33" spans="1:19" ht="12" customHeight="1" hidden="1">
      <c r="A33" s="167"/>
      <c r="B33" s="168" t="s">
        <v>140</v>
      </c>
      <c r="C33" s="417" t="s">
        <v>92</v>
      </c>
      <c r="D33" s="423"/>
      <c r="E33" s="189"/>
      <c r="F33" s="189"/>
      <c r="G33" s="189"/>
      <c r="H33" s="471"/>
      <c r="I33" s="445"/>
      <c r="J33" s="423"/>
      <c r="K33" s="189"/>
      <c r="L33" s="189"/>
      <c r="M33" s="189"/>
      <c r="N33" s="471"/>
      <c r="O33" s="445"/>
      <c r="P33" s="456"/>
      <c r="Q33" s="430"/>
      <c r="R33" s="133"/>
      <c r="S33" s="133"/>
    </row>
    <row r="34" spans="1:19" ht="12" customHeight="1" hidden="1">
      <c r="A34" s="169"/>
      <c r="B34" s="170" t="s">
        <v>141</v>
      </c>
      <c r="C34" s="418" t="s">
        <v>93</v>
      </c>
      <c r="D34" s="424">
        <v>0</v>
      </c>
      <c r="E34" s="190">
        <v>0</v>
      </c>
      <c r="F34" s="190">
        <v>0</v>
      </c>
      <c r="G34" s="190">
        <v>0</v>
      </c>
      <c r="H34" s="472"/>
      <c r="I34" s="446"/>
      <c r="J34" s="424"/>
      <c r="K34" s="190"/>
      <c r="L34" s="190">
        <v>0</v>
      </c>
      <c r="M34" s="190">
        <v>0</v>
      </c>
      <c r="N34" s="472"/>
      <c r="O34" s="446"/>
      <c r="P34" s="457"/>
      <c r="Q34" s="431"/>
      <c r="R34" s="171"/>
      <c r="S34" s="171"/>
    </row>
    <row r="35" spans="1:19" ht="15" customHeight="1" hidden="1">
      <c r="A35" s="169"/>
      <c r="B35" s="170" t="s">
        <v>142</v>
      </c>
      <c r="C35" s="418" t="s">
        <v>143</v>
      </c>
      <c r="D35" s="424"/>
      <c r="E35" s="190"/>
      <c r="F35" s="190"/>
      <c r="G35" s="190"/>
      <c r="H35" s="472"/>
      <c r="I35" s="446"/>
      <c r="J35" s="424"/>
      <c r="K35" s="190"/>
      <c r="L35" s="190"/>
      <c r="M35" s="190"/>
      <c r="N35" s="472"/>
      <c r="O35" s="446"/>
      <c r="P35" s="457"/>
      <c r="Q35" s="431"/>
      <c r="R35" s="171"/>
      <c r="S35" s="171"/>
    </row>
    <row r="36" spans="1:19" ht="13.5" hidden="1" thickBot="1">
      <c r="A36" s="169"/>
      <c r="B36" s="170" t="s">
        <v>144</v>
      </c>
      <c r="C36" s="418" t="s">
        <v>145</v>
      </c>
      <c r="D36" s="424"/>
      <c r="E36" s="190"/>
      <c r="F36" s="190"/>
      <c r="G36" s="190"/>
      <c r="H36" s="472"/>
      <c r="I36" s="446"/>
      <c r="J36" s="424"/>
      <c r="K36" s="190"/>
      <c r="L36" s="190"/>
      <c r="M36" s="190"/>
      <c r="N36" s="472"/>
      <c r="O36" s="446"/>
      <c r="P36" s="457"/>
      <c r="Q36" s="431"/>
      <c r="R36" s="171"/>
      <c r="S36" s="171"/>
    </row>
    <row r="37" spans="1:19" ht="15" customHeight="1" hidden="1" thickBot="1">
      <c r="A37" s="136" t="s">
        <v>9</v>
      </c>
      <c r="B37" s="166"/>
      <c r="C37" s="419" t="s">
        <v>227</v>
      </c>
      <c r="D37" s="410"/>
      <c r="E37" s="185"/>
      <c r="F37" s="185"/>
      <c r="G37" s="185"/>
      <c r="H37" s="473" t="s">
        <v>239</v>
      </c>
      <c r="I37" s="401"/>
      <c r="J37" s="410"/>
      <c r="K37" s="185"/>
      <c r="L37" s="185"/>
      <c r="M37" s="185"/>
      <c r="N37" s="473" t="s">
        <v>239</v>
      </c>
      <c r="O37" s="401"/>
      <c r="P37" s="458"/>
      <c r="Q37" s="400"/>
      <c r="R37" s="144"/>
      <c r="S37" s="144"/>
    </row>
    <row r="38" spans="1:19" ht="14.25" customHeight="1" hidden="1" thickBot="1">
      <c r="A38" s="152" t="s">
        <v>10</v>
      </c>
      <c r="B38" s="272"/>
      <c r="C38" s="420" t="s">
        <v>147</v>
      </c>
      <c r="D38" s="410"/>
      <c r="E38" s="185"/>
      <c r="F38" s="185"/>
      <c r="G38" s="185"/>
      <c r="H38" s="473"/>
      <c r="I38" s="401"/>
      <c r="J38" s="410"/>
      <c r="K38" s="185"/>
      <c r="L38" s="185"/>
      <c r="M38" s="185"/>
      <c r="N38" s="473"/>
      <c r="O38" s="401"/>
      <c r="P38" s="458"/>
      <c r="Q38" s="400"/>
      <c r="R38" s="144"/>
      <c r="S38" s="144"/>
    </row>
    <row r="39" spans="1:19" ht="13.5" hidden="1" thickBot="1">
      <c r="A39" s="136" t="s">
        <v>11</v>
      </c>
      <c r="B39" s="172"/>
      <c r="C39" s="421" t="s">
        <v>148</v>
      </c>
      <c r="D39" s="413">
        <f aca="true" t="shared" si="6" ref="D39:M39">D26+D32+D37+D38</f>
        <v>0</v>
      </c>
      <c r="E39" s="188">
        <f t="shared" si="6"/>
        <v>0</v>
      </c>
      <c r="F39" s="188">
        <f t="shared" si="6"/>
        <v>0</v>
      </c>
      <c r="G39" s="188">
        <f t="shared" si="6"/>
        <v>0</v>
      </c>
      <c r="H39" s="474" t="s">
        <v>239</v>
      </c>
      <c r="I39" s="401"/>
      <c r="J39" s="413">
        <f t="shared" si="6"/>
        <v>0</v>
      </c>
      <c r="K39" s="188">
        <f t="shared" si="6"/>
        <v>0</v>
      </c>
      <c r="L39" s="188">
        <f t="shared" si="6"/>
        <v>0</v>
      </c>
      <c r="M39" s="188">
        <f t="shared" si="6"/>
        <v>0</v>
      </c>
      <c r="N39" s="474" t="s">
        <v>239</v>
      </c>
      <c r="O39" s="401"/>
      <c r="P39" s="459"/>
      <c r="Q39" s="155"/>
      <c r="R39" s="173"/>
      <c r="S39" s="173"/>
    </row>
    <row r="40" spans="1:19" ht="13.5" hidden="1" thickBot="1">
      <c r="A40" s="274"/>
      <c r="B40" s="275"/>
      <c r="C40" s="275"/>
      <c r="D40" s="450"/>
      <c r="E40" s="451"/>
      <c r="F40" s="451"/>
      <c r="G40" s="451"/>
      <c r="H40" s="475"/>
      <c r="I40" s="276"/>
      <c r="J40" s="450"/>
      <c r="K40" s="451"/>
      <c r="L40" s="451"/>
      <c r="M40" s="451"/>
      <c r="N40" s="475"/>
      <c r="O40" s="276"/>
      <c r="P40" s="460"/>
      <c r="Q40" s="276"/>
      <c r="R40" s="276"/>
      <c r="S40" s="276"/>
    </row>
    <row r="41" spans="1:19" ht="13.5" hidden="1" thickBot="1">
      <c r="A41" s="176" t="s">
        <v>149</v>
      </c>
      <c r="B41" s="177"/>
      <c r="C41" s="422"/>
      <c r="D41" s="436"/>
      <c r="E41" s="193"/>
      <c r="F41" s="193"/>
      <c r="G41" s="193"/>
      <c r="H41" s="476"/>
      <c r="I41" s="401"/>
      <c r="J41" s="436"/>
      <c r="K41" s="193"/>
      <c r="L41" s="193"/>
      <c r="M41" s="193"/>
      <c r="N41" s="476"/>
      <c r="O41" s="401"/>
      <c r="P41" s="461"/>
      <c r="Q41" s="192"/>
      <c r="R41" s="192"/>
      <c r="S41" s="192"/>
    </row>
    <row r="42" spans="1:19" ht="13.5" hidden="1" thickBot="1">
      <c r="A42" s="176" t="s">
        <v>150</v>
      </c>
      <c r="B42" s="177"/>
      <c r="C42" s="422"/>
      <c r="D42" s="436"/>
      <c r="E42" s="193"/>
      <c r="F42" s="193"/>
      <c r="G42" s="193"/>
      <c r="H42" s="476"/>
      <c r="I42" s="401"/>
      <c r="J42" s="436"/>
      <c r="K42" s="193"/>
      <c r="L42" s="193"/>
      <c r="M42" s="193"/>
      <c r="N42" s="476"/>
      <c r="O42" s="401"/>
      <c r="P42" s="461"/>
      <c r="Q42" s="192"/>
      <c r="R42" s="192"/>
      <c r="S42" s="192"/>
    </row>
    <row r="43" ht="12.75" hidden="1"/>
    <row r="44" spans="1:9" ht="12.75" hidden="1">
      <c r="A44" s="1913" t="s">
        <v>151</v>
      </c>
      <c r="B44" s="1913"/>
      <c r="C44" s="1913"/>
      <c r="D44" s="1913"/>
      <c r="E44" s="261"/>
      <c r="F44" s="261"/>
      <c r="G44" s="261"/>
      <c r="H44" s="261"/>
      <c r="I44" s="261"/>
    </row>
    <row r="45" spans="1:9" ht="12.75" hidden="1">
      <c r="A45" s="1913"/>
      <c r="B45" s="1913"/>
      <c r="C45" s="1913"/>
      <c r="E45" s="278"/>
      <c r="F45" s="278"/>
      <c r="G45" s="278"/>
      <c r="H45" s="278"/>
      <c r="I45" s="278"/>
    </row>
    <row r="46" spans="4:9" ht="12.75" hidden="1">
      <c r="D46" s="278">
        <v>0</v>
      </c>
      <c r="E46" s="278"/>
      <c r="F46" s="278"/>
      <c r="G46" s="278"/>
      <c r="H46" s="278"/>
      <c r="I46" s="278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111"/>
  <sheetViews>
    <sheetView view="pageBreakPreview" zoomScale="60" zoomScaleNormal="75" zoomScalePageLayoutView="0" workbookViewId="0" topLeftCell="A1">
      <pane xSplit="4" ySplit="7" topLeftCell="E5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63" sqref="A63:IV64"/>
    </sheetView>
  </sheetViews>
  <sheetFormatPr defaultColWidth="9.140625" defaultRowHeight="12.75"/>
  <cols>
    <col min="1" max="2" width="5.7109375" style="919" customWidth="1"/>
    <col min="3" max="3" width="8.8515625" style="919" customWidth="1"/>
    <col min="4" max="4" width="56.00390625" style="920" bestFit="1" customWidth="1"/>
    <col min="5" max="5" width="22.57421875" style="279" customWidth="1"/>
    <col min="6" max="6" width="19.00390625" style="279" hidden="1" customWidth="1"/>
    <col min="7" max="7" width="17.421875" style="279" hidden="1" customWidth="1"/>
    <col min="8" max="9" width="17.8515625" style="279" customWidth="1"/>
    <col min="10" max="10" width="17.8515625" style="279" hidden="1" customWidth="1"/>
    <col min="11" max="12" width="17.8515625" style="279" customWidth="1"/>
    <col min="13" max="14" width="17.8515625" style="279" hidden="1" customWidth="1"/>
    <col min="15" max="16" width="17.8515625" style="279" customWidth="1"/>
    <col min="17" max="17" width="17.8515625" style="279" hidden="1" customWidth="1"/>
    <col min="18" max="18" width="17.8515625" style="279" customWidth="1"/>
    <col min="19" max="19" width="17.8515625" style="867" customWidth="1"/>
    <col min="20" max="21" width="17.8515625" style="279" hidden="1" customWidth="1"/>
    <col min="22" max="22" width="17.8515625" style="279" customWidth="1"/>
    <col min="23" max="23" width="17.8515625" style="867" customWidth="1"/>
    <col min="24" max="24" width="17.8515625" style="867" hidden="1" customWidth="1"/>
    <col min="25" max="26" width="17.8515625" style="867" customWidth="1"/>
    <col min="27" max="27" width="25.00390625" style="867" customWidth="1"/>
    <col min="28" max="16384" width="9.140625" style="867" customWidth="1"/>
  </cols>
  <sheetData>
    <row r="1" spans="1:23" ht="12.75">
      <c r="A1" s="865"/>
      <c r="B1" s="865"/>
      <c r="C1" s="865"/>
      <c r="D1" s="866"/>
      <c r="S1" s="1894" t="s">
        <v>531</v>
      </c>
      <c r="T1" s="1894"/>
      <c r="U1" s="1894"/>
      <c r="V1" s="1894"/>
      <c r="W1" s="1894"/>
    </row>
    <row r="2" spans="1:22" s="870" customFormat="1" ht="34.5" customHeight="1">
      <c r="A2" s="1897" t="s">
        <v>587</v>
      </c>
      <c r="B2" s="1897"/>
      <c r="C2" s="1897"/>
      <c r="D2" s="1897"/>
      <c r="E2" s="1897"/>
      <c r="F2" s="1897"/>
      <c r="G2" s="1897"/>
      <c r="H2" s="1897"/>
      <c r="I2" s="1897"/>
      <c r="J2" s="1897"/>
      <c r="K2" s="1897"/>
      <c r="L2" s="1897"/>
      <c r="M2" s="1897"/>
      <c r="N2" s="1897"/>
      <c r="O2" s="1897"/>
      <c r="P2" s="1897"/>
      <c r="Q2" s="1897"/>
      <c r="R2" s="1897"/>
      <c r="S2" s="1897"/>
      <c r="T2" s="868"/>
      <c r="U2" s="869"/>
      <c r="V2" s="869"/>
    </row>
    <row r="3" spans="1:19" ht="13.5" thickBot="1">
      <c r="A3" s="871"/>
      <c r="B3" s="871"/>
      <c r="C3" s="871"/>
      <c r="D3" s="872"/>
      <c r="L3" s="873"/>
      <c r="M3" s="873"/>
      <c r="N3" s="873"/>
      <c r="O3" s="873"/>
      <c r="P3" s="873"/>
      <c r="Q3" s="873"/>
      <c r="R3" s="873"/>
      <c r="S3" s="24" t="s">
        <v>445</v>
      </c>
    </row>
    <row r="4" spans="1:25" ht="45.75" customHeight="1" thickBot="1">
      <c r="A4" s="1848" t="s">
        <v>5</v>
      </c>
      <c r="B4" s="1849"/>
      <c r="C4" s="1849"/>
      <c r="D4" s="284" t="s">
        <v>8</v>
      </c>
      <c r="E4" s="1831" t="s">
        <v>4</v>
      </c>
      <c r="F4" s="1832"/>
      <c r="G4" s="1832"/>
      <c r="H4" s="1832"/>
      <c r="I4" s="1832"/>
      <c r="J4" s="1832"/>
      <c r="K4" s="1833"/>
      <c r="L4" s="1831" t="s">
        <v>60</v>
      </c>
      <c r="M4" s="1832"/>
      <c r="N4" s="1832"/>
      <c r="O4" s="1832"/>
      <c r="P4" s="1832"/>
      <c r="Q4" s="1832"/>
      <c r="R4" s="1833"/>
      <c r="S4" s="1831" t="s">
        <v>61</v>
      </c>
      <c r="T4" s="1832"/>
      <c r="U4" s="1832"/>
      <c r="V4" s="1832"/>
      <c r="W4" s="1832"/>
      <c r="X4" s="1832"/>
      <c r="Y4" s="1833"/>
    </row>
    <row r="5" spans="1:25" ht="45.75" customHeight="1" thickBot="1">
      <c r="A5" s="266"/>
      <c r="B5" s="267"/>
      <c r="C5" s="267"/>
      <c r="D5" s="284"/>
      <c r="E5" s="318" t="s">
        <v>64</v>
      </c>
      <c r="F5" s="319" t="s">
        <v>219</v>
      </c>
      <c r="G5" s="319" t="s">
        <v>224</v>
      </c>
      <c r="H5" s="319" t="s">
        <v>226</v>
      </c>
      <c r="I5" s="319" t="s">
        <v>228</v>
      </c>
      <c r="J5" s="319" t="s">
        <v>438</v>
      </c>
      <c r="K5" s="320" t="s">
        <v>434</v>
      </c>
      <c r="L5" s="318" t="s">
        <v>64</v>
      </c>
      <c r="M5" s="319" t="s">
        <v>219</v>
      </c>
      <c r="N5" s="319" t="s">
        <v>224</v>
      </c>
      <c r="O5" s="319" t="s">
        <v>226</v>
      </c>
      <c r="P5" s="319" t="s">
        <v>228</v>
      </c>
      <c r="Q5" s="319" t="s">
        <v>439</v>
      </c>
      <c r="R5" s="320" t="s">
        <v>434</v>
      </c>
      <c r="S5" s="318" t="s">
        <v>64</v>
      </c>
      <c r="T5" s="319" t="s">
        <v>219</v>
      </c>
      <c r="U5" s="319" t="s">
        <v>224</v>
      </c>
      <c r="V5" s="319" t="s">
        <v>226</v>
      </c>
      <c r="W5" s="319" t="s">
        <v>228</v>
      </c>
      <c r="X5" s="319" t="s">
        <v>439</v>
      </c>
      <c r="Y5" s="320" t="s">
        <v>434</v>
      </c>
    </row>
    <row r="6" spans="1:25" s="877" customFormat="1" ht="21.75" customHeight="1" thickBot="1">
      <c r="A6" s="72"/>
      <c r="B6" s="1829"/>
      <c r="C6" s="1829"/>
      <c r="D6" s="1829"/>
      <c r="E6" s="874"/>
      <c r="F6" s="875"/>
      <c r="G6" s="875"/>
      <c r="H6" s="875"/>
      <c r="I6" s="875"/>
      <c r="J6" s="875"/>
      <c r="K6" s="876"/>
      <c r="L6" s="874"/>
      <c r="M6" s="875"/>
      <c r="N6" s="875"/>
      <c r="O6" s="875"/>
      <c r="P6" s="875"/>
      <c r="Q6" s="875"/>
      <c r="R6" s="876"/>
      <c r="S6" s="874"/>
      <c r="T6" s="875"/>
      <c r="U6" s="875"/>
      <c r="V6" s="875"/>
      <c r="W6" s="875"/>
      <c r="X6" s="875"/>
      <c r="Y6" s="876"/>
    </row>
    <row r="7" spans="1:25" s="877" customFormat="1" ht="21.75" customHeight="1" thickBot="1">
      <c r="A7" s="72" t="s">
        <v>26</v>
      </c>
      <c r="B7" s="1829" t="s">
        <v>272</v>
      </c>
      <c r="C7" s="1829"/>
      <c r="D7" s="1829"/>
      <c r="E7" s="874">
        <f aca="true" t="shared" si="0" ref="E7:J7">E8+E13+E16+E17+E20</f>
        <v>219910000</v>
      </c>
      <c r="F7" s="875">
        <f>F8+F13+F16+F17+F20</f>
        <v>206228365</v>
      </c>
      <c r="G7" s="875">
        <f>G8+G13+G16+G17+G20</f>
        <v>206228365</v>
      </c>
      <c r="H7" s="875">
        <f>H8+H13+H16+H17+H20</f>
        <v>210825770</v>
      </c>
      <c r="I7" s="875">
        <f t="shared" si="0"/>
        <v>205515720</v>
      </c>
      <c r="J7" s="875">
        <f t="shared" si="0"/>
        <v>0</v>
      </c>
      <c r="K7" s="878">
        <f>I7/H7</f>
        <v>0.9748130885517459</v>
      </c>
      <c r="L7" s="874">
        <f aca="true" t="shared" si="1" ref="L7:Q7">L8+L13+L16+L17+L20</f>
        <v>205233131</v>
      </c>
      <c r="M7" s="875">
        <f>M8+M13+M16+M17+M20</f>
        <v>183591717</v>
      </c>
      <c r="N7" s="875">
        <f>N8+N13+N16+N17+N20</f>
        <v>183591717</v>
      </c>
      <c r="O7" s="875">
        <f>O8+O13+O16+O17+O20</f>
        <v>192863718</v>
      </c>
      <c r="P7" s="875">
        <f t="shared" si="1"/>
        <v>187553668</v>
      </c>
      <c r="Q7" s="875">
        <f t="shared" si="1"/>
        <v>0</v>
      </c>
      <c r="R7" s="878">
        <f>SUM(P7/O7)</f>
        <v>0.9724673460873549</v>
      </c>
      <c r="S7" s="874">
        <f aca="true" t="shared" si="2" ref="S7:X7">S8+S13+S16</f>
        <v>14676869</v>
      </c>
      <c r="T7" s="875">
        <f>T8+T13+T16</f>
        <v>22636648</v>
      </c>
      <c r="U7" s="875">
        <f>U8+U13+U16</f>
        <v>22636648</v>
      </c>
      <c r="V7" s="875">
        <f>V8+V13+V16</f>
        <v>17962052</v>
      </c>
      <c r="W7" s="875">
        <f t="shared" si="2"/>
        <v>17962052</v>
      </c>
      <c r="X7" s="875">
        <f t="shared" si="2"/>
        <v>0</v>
      </c>
      <c r="Y7" s="878">
        <f>W7/V7</f>
        <v>1</v>
      </c>
    </row>
    <row r="8" spans="1:25" ht="21.75" customHeight="1">
      <c r="A8" s="879"/>
      <c r="B8" s="208" t="s">
        <v>35</v>
      </c>
      <c r="C8" s="1838" t="s">
        <v>273</v>
      </c>
      <c r="D8" s="1838"/>
      <c r="E8" s="880">
        <f aca="true" t="shared" si="3" ref="E8:J8">SUM(E9:E12)</f>
        <v>19350000</v>
      </c>
      <c r="F8" s="881">
        <f t="shared" si="3"/>
        <v>19350000</v>
      </c>
      <c r="G8" s="881">
        <f t="shared" si="3"/>
        <v>19350000</v>
      </c>
      <c r="H8" s="881">
        <f t="shared" si="3"/>
        <v>20155482</v>
      </c>
      <c r="I8" s="881">
        <f t="shared" si="3"/>
        <v>19867796</v>
      </c>
      <c r="J8" s="881">
        <f t="shared" si="3"/>
        <v>0</v>
      </c>
      <c r="K8" s="1756">
        <f>I8/H8</f>
        <v>0.9857266623541923</v>
      </c>
      <c r="L8" s="880">
        <f aca="true" t="shared" si="4" ref="L8:Q8">SUM(L9:L12)</f>
        <v>19350000</v>
      </c>
      <c r="M8" s="881">
        <f>SUM(M9:M12)</f>
        <v>19350000</v>
      </c>
      <c r="N8" s="881">
        <f>SUM(N9:N12)</f>
        <v>19350000</v>
      </c>
      <c r="O8" s="881">
        <f>SUM(O9:O12)</f>
        <v>20155482</v>
      </c>
      <c r="P8" s="881">
        <f t="shared" si="4"/>
        <v>19867796</v>
      </c>
      <c r="Q8" s="881">
        <f t="shared" si="4"/>
        <v>0</v>
      </c>
      <c r="R8" s="1756">
        <f>SUM(P8/O8)</f>
        <v>0.9857266623541923</v>
      </c>
      <c r="S8" s="880">
        <v>0</v>
      </c>
      <c r="T8" s="881">
        <v>0</v>
      </c>
      <c r="U8" s="881">
        <v>0</v>
      </c>
      <c r="V8" s="881">
        <v>0</v>
      </c>
      <c r="W8" s="881">
        <v>0</v>
      </c>
      <c r="X8" s="881"/>
      <c r="Y8" s="882"/>
    </row>
    <row r="9" spans="1:25" ht="21.75" customHeight="1">
      <c r="A9" s="883"/>
      <c r="B9" s="65"/>
      <c r="C9" s="65" t="s">
        <v>278</v>
      </c>
      <c r="D9" s="285" t="s">
        <v>274</v>
      </c>
      <c r="E9" s="884">
        <v>0</v>
      </c>
      <c r="F9" s="885">
        <v>0</v>
      </c>
      <c r="G9" s="885">
        <v>0</v>
      </c>
      <c r="H9" s="885">
        <v>0</v>
      </c>
      <c r="I9" s="885">
        <v>0</v>
      </c>
      <c r="J9" s="885">
        <v>0</v>
      </c>
      <c r="K9" s="1755"/>
      <c r="L9" s="884">
        <v>0</v>
      </c>
      <c r="M9" s="885">
        <v>0</v>
      </c>
      <c r="N9" s="885">
        <v>0</v>
      </c>
      <c r="O9" s="885">
        <v>0</v>
      </c>
      <c r="P9" s="885">
        <v>0</v>
      </c>
      <c r="Q9" s="885">
        <v>0</v>
      </c>
      <c r="R9" s="1757">
        <v>0</v>
      </c>
      <c r="S9" s="884">
        <v>0</v>
      </c>
      <c r="T9" s="885">
        <v>0</v>
      </c>
      <c r="U9" s="885">
        <v>0</v>
      </c>
      <c r="V9" s="885">
        <v>0</v>
      </c>
      <c r="W9" s="885">
        <v>0</v>
      </c>
      <c r="X9" s="885"/>
      <c r="Y9" s="666"/>
    </row>
    <row r="10" spans="1:25" ht="21.75" customHeight="1" thickBot="1">
      <c r="A10" s="883"/>
      <c r="B10" s="65"/>
      <c r="C10" s="65" t="s">
        <v>279</v>
      </c>
      <c r="D10" s="285" t="s">
        <v>259</v>
      </c>
      <c r="E10" s="884">
        <v>0</v>
      </c>
      <c r="F10" s="885">
        <v>0</v>
      </c>
      <c r="G10" s="885">
        <v>0</v>
      </c>
      <c r="H10" s="885">
        <v>0</v>
      </c>
      <c r="I10" s="885">
        <v>0</v>
      </c>
      <c r="J10" s="885">
        <v>0</v>
      </c>
      <c r="K10" s="1753"/>
      <c r="L10" s="884">
        <v>0</v>
      </c>
      <c r="M10" s="885">
        <v>0</v>
      </c>
      <c r="N10" s="885">
        <v>0</v>
      </c>
      <c r="O10" s="885">
        <v>0</v>
      </c>
      <c r="P10" s="885">
        <v>0</v>
      </c>
      <c r="Q10" s="885">
        <v>0</v>
      </c>
      <c r="R10" s="1758">
        <v>0</v>
      </c>
      <c r="S10" s="884">
        <v>0</v>
      </c>
      <c r="T10" s="885">
        <v>0</v>
      </c>
      <c r="U10" s="885">
        <v>0</v>
      </c>
      <c r="V10" s="885">
        <v>0</v>
      </c>
      <c r="W10" s="885">
        <v>0</v>
      </c>
      <c r="X10" s="885"/>
      <c r="Y10" s="666"/>
    </row>
    <row r="11" spans="1:25" ht="21.75" customHeight="1">
      <c r="A11" s="883"/>
      <c r="B11" s="65"/>
      <c r="C11" s="65" t="s">
        <v>280</v>
      </c>
      <c r="D11" s="285" t="s">
        <v>258</v>
      </c>
      <c r="E11" s="884">
        <v>19350000</v>
      </c>
      <c r="F11" s="885">
        <v>19350000</v>
      </c>
      <c r="G11" s="885">
        <v>19350000</v>
      </c>
      <c r="H11" s="885">
        <v>20155482</v>
      </c>
      <c r="I11" s="885">
        <v>19867796</v>
      </c>
      <c r="J11" s="881"/>
      <c r="K11" s="1754">
        <f>I11/H11</f>
        <v>0.9857266623541923</v>
      </c>
      <c r="L11" s="849">
        <f>E11</f>
        <v>19350000</v>
      </c>
      <c r="M11" s="837">
        <f>F11</f>
        <v>19350000</v>
      </c>
      <c r="N11" s="837">
        <f>G11</f>
        <v>19350000</v>
      </c>
      <c r="O11" s="837">
        <f>H11</f>
        <v>20155482</v>
      </c>
      <c r="P11" s="885">
        <f>I11-W11</f>
        <v>19867796</v>
      </c>
      <c r="Q11" s="837">
        <f>J11</f>
        <v>0</v>
      </c>
      <c r="R11" s="1754">
        <f>SUM(P11/O11)</f>
        <v>0.9857266623541923</v>
      </c>
      <c r="S11" s="884">
        <v>0</v>
      </c>
      <c r="T11" s="885">
        <v>0</v>
      </c>
      <c r="U11" s="885">
        <v>0</v>
      </c>
      <c r="V11" s="885">
        <v>0</v>
      </c>
      <c r="W11" s="885">
        <v>0</v>
      </c>
      <c r="X11" s="885"/>
      <c r="Y11" s="666"/>
    </row>
    <row r="12" spans="1:35" ht="21.75" customHeight="1" hidden="1">
      <c r="A12" s="883"/>
      <c r="B12" s="65"/>
      <c r="C12" s="65"/>
      <c r="D12" s="285"/>
      <c r="E12" s="887"/>
      <c r="F12" s="888"/>
      <c r="G12" s="888"/>
      <c r="H12" s="888"/>
      <c r="I12" s="888"/>
      <c r="J12" s="888"/>
      <c r="K12" s="1754" t="e">
        <f>I12/H12</f>
        <v>#DIV/0!</v>
      </c>
      <c r="L12" s="887"/>
      <c r="M12" s="888"/>
      <c r="N12" s="888"/>
      <c r="O12" s="888"/>
      <c r="P12" s="888"/>
      <c r="Q12" s="888"/>
      <c r="R12" s="1754" t="e">
        <f aca="true" t="shared" si="5" ref="R12:R20">SUM(P12/O12)</f>
        <v>#DIV/0!</v>
      </c>
      <c r="S12" s="887"/>
      <c r="T12" s="888"/>
      <c r="U12" s="888"/>
      <c r="V12" s="888"/>
      <c r="W12" s="888"/>
      <c r="X12" s="888"/>
      <c r="Y12" s="666" t="e">
        <f>W12/V12</f>
        <v>#DIV/0!</v>
      </c>
      <c r="AI12" s="867" t="s">
        <v>235</v>
      </c>
    </row>
    <row r="13" spans="1:25" ht="21.75" customHeight="1">
      <c r="A13" s="883"/>
      <c r="B13" s="65" t="s">
        <v>36</v>
      </c>
      <c r="C13" s="1898" t="s">
        <v>275</v>
      </c>
      <c r="D13" s="1898"/>
      <c r="E13" s="887">
        <f aca="true" t="shared" si="6" ref="E13:J13">SUM(E14:E15)</f>
        <v>185000000</v>
      </c>
      <c r="F13" s="888">
        <f t="shared" si="6"/>
        <v>185000000</v>
      </c>
      <c r="G13" s="888">
        <f t="shared" si="6"/>
        <v>185000000</v>
      </c>
      <c r="H13" s="888">
        <f t="shared" si="6"/>
        <v>186935256</v>
      </c>
      <c r="I13" s="888">
        <f t="shared" si="6"/>
        <v>183333814</v>
      </c>
      <c r="J13" s="888">
        <f t="shared" si="6"/>
        <v>0</v>
      </c>
      <c r="K13" s="1754">
        <f>I13/H13</f>
        <v>0.9807342816060337</v>
      </c>
      <c r="L13" s="887">
        <f>SUM(L14:L15)</f>
        <v>170323131</v>
      </c>
      <c r="M13" s="888">
        <f>SUM(M14:M15)</f>
        <v>162363352</v>
      </c>
      <c r="N13" s="888">
        <f>SUM(N14:N15)</f>
        <v>162363352</v>
      </c>
      <c r="O13" s="888">
        <f>SUM(O14:O15)</f>
        <v>168973204</v>
      </c>
      <c r="P13" s="888">
        <f>SUM(P14:P15)</f>
        <v>165371762</v>
      </c>
      <c r="Q13" s="888">
        <f aca="true" t="shared" si="7" ref="Q13:X13">SUM(Q14:Q15)</f>
        <v>0</v>
      </c>
      <c r="R13" s="1754">
        <f t="shared" si="5"/>
        <v>0.9786863128901787</v>
      </c>
      <c r="S13" s="887">
        <f t="shared" si="7"/>
        <v>14676869</v>
      </c>
      <c r="T13" s="888">
        <f>SUM(T14:T15)</f>
        <v>22636648</v>
      </c>
      <c r="U13" s="888">
        <f>SUM(U14:U15)</f>
        <v>22636648</v>
      </c>
      <c r="V13" s="888">
        <f>SUM(V14:V15)</f>
        <v>17962052</v>
      </c>
      <c r="W13" s="888">
        <f t="shared" si="7"/>
        <v>17962052</v>
      </c>
      <c r="X13" s="888">
        <f t="shared" si="7"/>
        <v>0</v>
      </c>
      <c r="Y13" s="666">
        <f>W13/V13</f>
        <v>1</v>
      </c>
    </row>
    <row r="14" spans="1:31" ht="21.75" customHeight="1">
      <c r="A14" s="883"/>
      <c r="B14" s="65"/>
      <c r="C14" s="65" t="s">
        <v>276</v>
      </c>
      <c r="D14" s="889" t="s">
        <v>485</v>
      </c>
      <c r="E14" s="884">
        <v>185000000</v>
      </c>
      <c r="F14" s="885">
        <v>185000000</v>
      </c>
      <c r="G14" s="885">
        <v>185000000</v>
      </c>
      <c r="H14" s="885">
        <v>186935256</v>
      </c>
      <c r="I14" s="885">
        <v>183333814</v>
      </c>
      <c r="J14" s="885"/>
      <c r="K14" s="1754">
        <f>I14/H14</f>
        <v>0.9807342816060337</v>
      </c>
      <c r="L14" s="884">
        <f aca="true" t="shared" si="8" ref="L14:Q14">E14-S14</f>
        <v>170323131</v>
      </c>
      <c r="M14" s="885">
        <f t="shared" si="8"/>
        <v>162363352</v>
      </c>
      <c r="N14" s="885">
        <f t="shared" si="8"/>
        <v>162363352</v>
      </c>
      <c r="O14" s="885">
        <f t="shared" si="8"/>
        <v>168973204</v>
      </c>
      <c r="P14" s="885">
        <f>I14-W14</f>
        <v>165371762</v>
      </c>
      <c r="Q14" s="885">
        <f t="shared" si="8"/>
        <v>0</v>
      </c>
      <c r="R14" s="1754">
        <f t="shared" si="5"/>
        <v>0.9786863128901787</v>
      </c>
      <c r="S14" s="884">
        <v>14676869</v>
      </c>
      <c r="T14" s="885">
        <f>14676869+7959779</f>
        <v>22636648</v>
      </c>
      <c r="U14" s="885">
        <f>14676869+7959779</f>
        <v>22636648</v>
      </c>
      <c r="V14" s="885">
        <v>17962052</v>
      </c>
      <c r="W14" s="885">
        <v>17962052</v>
      </c>
      <c r="X14" s="885"/>
      <c r="Y14" s="666">
        <f>W14/V14</f>
        <v>1</v>
      </c>
      <c r="Z14" s="279"/>
      <c r="AA14" s="279"/>
      <c r="AB14" s="279"/>
      <c r="AC14" s="279"/>
      <c r="AD14" s="279"/>
      <c r="AE14" s="279"/>
    </row>
    <row r="15" spans="1:25" ht="21.75" customHeight="1">
      <c r="A15" s="883"/>
      <c r="B15" s="65"/>
      <c r="C15" s="65" t="s">
        <v>277</v>
      </c>
      <c r="D15" s="889" t="s">
        <v>282</v>
      </c>
      <c r="E15" s="884"/>
      <c r="F15" s="885"/>
      <c r="G15" s="885"/>
      <c r="H15" s="885"/>
      <c r="I15" s="885"/>
      <c r="J15" s="885"/>
      <c r="K15" s="886"/>
      <c r="L15" s="884">
        <v>0</v>
      </c>
      <c r="M15" s="885">
        <v>0</v>
      </c>
      <c r="N15" s="885">
        <v>0</v>
      </c>
      <c r="O15" s="885">
        <v>0</v>
      </c>
      <c r="P15" s="885">
        <v>0</v>
      </c>
      <c r="Q15" s="885">
        <v>0</v>
      </c>
      <c r="R15" s="1754"/>
      <c r="S15" s="884">
        <v>0</v>
      </c>
      <c r="T15" s="885">
        <v>0</v>
      </c>
      <c r="U15" s="885">
        <v>0</v>
      </c>
      <c r="V15" s="885">
        <v>0</v>
      </c>
      <c r="W15" s="885">
        <v>0</v>
      </c>
      <c r="X15" s="885"/>
      <c r="Y15" s="666"/>
    </row>
    <row r="16" spans="1:25" ht="21.75" customHeight="1">
      <c r="A16" s="883"/>
      <c r="B16" s="65" t="s">
        <v>112</v>
      </c>
      <c r="C16" s="1898" t="s">
        <v>283</v>
      </c>
      <c r="D16" s="1898"/>
      <c r="E16" s="884">
        <v>14150000</v>
      </c>
      <c r="F16" s="885">
        <v>468365</v>
      </c>
      <c r="G16" s="885">
        <v>468365</v>
      </c>
      <c r="H16" s="885">
        <v>468365</v>
      </c>
      <c r="I16" s="885">
        <v>468365</v>
      </c>
      <c r="J16" s="885"/>
      <c r="K16" s="1754">
        <f>I16/H16</f>
        <v>1</v>
      </c>
      <c r="L16" s="849">
        <f>E16</f>
        <v>14150000</v>
      </c>
      <c r="M16" s="837">
        <f>F16</f>
        <v>468365</v>
      </c>
      <c r="N16" s="837">
        <f>G16</f>
        <v>468365</v>
      </c>
      <c r="O16" s="837">
        <f>H16</f>
        <v>468365</v>
      </c>
      <c r="P16" s="885">
        <f>I16-W16</f>
        <v>468365</v>
      </c>
      <c r="Q16" s="837">
        <f>J16</f>
        <v>0</v>
      </c>
      <c r="R16" s="1754">
        <f t="shared" si="5"/>
        <v>1</v>
      </c>
      <c r="S16" s="884">
        <v>0</v>
      </c>
      <c r="T16" s="885">
        <v>0</v>
      </c>
      <c r="U16" s="885">
        <v>0</v>
      </c>
      <c r="V16" s="885">
        <v>0</v>
      </c>
      <c r="W16" s="885">
        <v>0</v>
      </c>
      <c r="X16" s="885"/>
      <c r="Y16" s="666"/>
    </row>
    <row r="17" spans="1:25" ht="21.75" customHeight="1">
      <c r="A17" s="883"/>
      <c r="B17" s="65" t="s">
        <v>48</v>
      </c>
      <c r="C17" s="1899" t="s">
        <v>284</v>
      </c>
      <c r="D17" s="1899"/>
      <c r="E17" s="887">
        <f>SUM(E18:E19)</f>
        <v>0</v>
      </c>
      <c r="F17" s="888">
        <f>SUM(F18:F19)</f>
        <v>0</v>
      </c>
      <c r="G17" s="888">
        <f>SUM(G18:G19)</f>
        <v>0</v>
      </c>
      <c r="H17" s="888">
        <f>SUM(H18:H19)</f>
        <v>0</v>
      </c>
      <c r="I17" s="888">
        <f>SUM(I18:I19)</f>
        <v>0</v>
      </c>
      <c r="J17" s="888">
        <v>0</v>
      </c>
      <c r="K17" s="666"/>
      <c r="L17" s="887">
        <v>0</v>
      </c>
      <c r="M17" s="888">
        <v>0</v>
      </c>
      <c r="N17" s="888">
        <v>0</v>
      </c>
      <c r="O17" s="888">
        <v>0</v>
      </c>
      <c r="P17" s="888">
        <f>SUM(P18:P19)</f>
        <v>0</v>
      </c>
      <c r="Q17" s="888">
        <v>0</v>
      </c>
      <c r="R17" s="1754"/>
      <c r="S17" s="887">
        <v>0</v>
      </c>
      <c r="T17" s="888">
        <v>0</v>
      </c>
      <c r="U17" s="888">
        <v>0</v>
      </c>
      <c r="V17" s="888">
        <v>0</v>
      </c>
      <c r="W17" s="888">
        <v>0</v>
      </c>
      <c r="X17" s="888"/>
      <c r="Y17" s="666"/>
    </row>
    <row r="18" spans="1:25" ht="21.75" customHeight="1">
      <c r="A18" s="883"/>
      <c r="B18" s="65"/>
      <c r="C18" s="65" t="s">
        <v>285</v>
      </c>
      <c r="D18" s="889" t="s">
        <v>287</v>
      </c>
      <c r="E18" s="884">
        <v>0</v>
      </c>
      <c r="F18" s="885">
        <v>0</v>
      </c>
      <c r="G18" s="885">
        <v>0</v>
      </c>
      <c r="H18" s="885">
        <v>0</v>
      </c>
      <c r="I18" s="885">
        <v>0</v>
      </c>
      <c r="J18" s="885">
        <v>0</v>
      </c>
      <c r="K18" s="886"/>
      <c r="L18" s="884">
        <v>0</v>
      </c>
      <c r="M18" s="885">
        <v>0</v>
      </c>
      <c r="N18" s="885">
        <v>0</v>
      </c>
      <c r="O18" s="885">
        <v>0</v>
      </c>
      <c r="P18" s="885">
        <v>0</v>
      </c>
      <c r="Q18" s="885">
        <v>0</v>
      </c>
      <c r="R18" s="1754"/>
      <c r="S18" s="884">
        <v>0</v>
      </c>
      <c r="T18" s="885">
        <v>0</v>
      </c>
      <c r="U18" s="885">
        <v>0</v>
      </c>
      <c r="V18" s="885">
        <v>0</v>
      </c>
      <c r="W18" s="885">
        <v>0</v>
      </c>
      <c r="X18" s="885"/>
      <c r="Y18" s="666"/>
    </row>
    <row r="19" spans="1:25" ht="21.75" customHeight="1" hidden="1">
      <c r="A19" s="883"/>
      <c r="B19" s="65"/>
      <c r="C19" s="65" t="s">
        <v>286</v>
      </c>
      <c r="D19" s="889" t="s">
        <v>260</v>
      </c>
      <c r="E19" s="884"/>
      <c r="F19" s="885"/>
      <c r="G19" s="885"/>
      <c r="H19" s="885"/>
      <c r="I19" s="885"/>
      <c r="J19" s="885"/>
      <c r="K19" s="886"/>
      <c r="L19" s="849">
        <f aca="true" t="shared" si="9" ref="L19:O20">E19</f>
        <v>0</v>
      </c>
      <c r="M19" s="837">
        <f t="shared" si="9"/>
        <v>0</v>
      </c>
      <c r="N19" s="837">
        <f t="shared" si="9"/>
        <v>0</v>
      </c>
      <c r="O19" s="837">
        <f t="shared" si="9"/>
        <v>0</v>
      </c>
      <c r="P19" s="885"/>
      <c r="Q19" s="837">
        <f>J19</f>
        <v>0</v>
      </c>
      <c r="R19" s="1754" t="e">
        <f t="shared" si="5"/>
        <v>#DIV/0!</v>
      </c>
      <c r="S19" s="884">
        <v>0</v>
      </c>
      <c r="T19" s="885">
        <v>0</v>
      </c>
      <c r="U19" s="885">
        <v>0</v>
      </c>
      <c r="V19" s="885">
        <v>0</v>
      </c>
      <c r="W19" s="885">
        <v>0</v>
      </c>
      <c r="X19" s="885"/>
      <c r="Y19" s="666"/>
    </row>
    <row r="20" spans="1:25" ht="21.75" customHeight="1" thickBot="1">
      <c r="A20" s="890"/>
      <c r="B20" s="546" t="s">
        <v>49</v>
      </c>
      <c r="C20" s="1895" t="s">
        <v>288</v>
      </c>
      <c r="D20" s="1895"/>
      <c r="E20" s="891">
        <v>1410000</v>
      </c>
      <c r="F20" s="892">
        <v>1410000</v>
      </c>
      <c r="G20" s="892">
        <v>1410000</v>
      </c>
      <c r="H20" s="892">
        <v>3266667</v>
      </c>
      <c r="I20" s="892">
        <v>1845745</v>
      </c>
      <c r="J20" s="892"/>
      <c r="K20" s="1754">
        <f aca="true" t="shared" si="10" ref="K20:K26">I20/H20</f>
        <v>0.5650239219363345</v>
      </c>
      <c r="L20" s="849">
        <f t="shared" si="9"/>
        <v>1410000</v>
      </c>
      <c r="M20" s="837">
        <f t="shared" si="9"/>
        <v>1410000</v>
      </c>
      <c r="N20" s="837">
        <f t="shared" si="9"/>
        <v>1410000</v>
      </c>
      <c r="O20" s="837">
        <f t="shared" si="9"/>
        <v>3266667</v>
      </c>
      <c r="P20" s="885">
        <f>I20-W20</f>
        <v>1845745</v>
      </c>
      <c r="Q20" s="837">
        <f>J20</f>
        <v>0</v>
      </c>
      <c r="R20" s="1754">
        <f t="shared" si="5"/>
        <v>0.5650239219363345</v>
      </c>
      <c r="S20" s="891">
        <v>0</v>
      </c>
      <c r="T20" s="892">
        <v>0</v>
      </c>
      <c r="U20" s="892">
        <v>0</v>
      </c>
      <c r="V20" s="892">
        <v>0</v>
      </c>
      <c r="W20" s="892">
        <v>0</v>
      </c>
      <c r="X20" s="892"/>
      <c r="Y20" s="667"/>
    </row>
    <row r="21" spans="1:26" ht="21.75" customHeight="1" thickBot="1">
      <c r="A21" s="72" t="s">
        <v>289</v>
      </c>
      <c r="B21" s="1829" t="s">
        <v>290</v>
      </c>
      <c r="C21" s="1829"/>
      <c r="D21" s="1829"/>
      <c r="E21" s="874">
        <f aca="true" t="shared" si="11" ref="E21:J21">E22+E23+E24+E28+E29+E30+E31</f>
        <v>39796998</v>
      </c>
      <c r="F21" s="875">
        <f>F22+F23+F24+F28+F29+F30+F31</f>
        <v>28161255</v>
      </c>
      <c r="G21" s="875">
        <f>G22+G23+G24+G28+G29+G30+G31</f>
        <v>23761076</v>
      </c>
      <c r="H21" s="875">
        <f>H22+H23+H24+H28+H29+H30+H31</f>
        <v>17898605</v>
      </c>
      <c r="I21" s="875">
        <f t="shared" si="11"/>
        <v>17789674</v>
      </c>
      <c r="J21" s="875">
        <f t="shared" si="11"/>
        <v>0</v>
      </c>
      <c r="K21" s="878">
        <f t="shared" si="10"/>
        <v>0.9939139949733513</v>
      </c>
      <c r="L21" s="874">
        <f aca="true" t="shared" si="12" ref="L21:Q21">L22+L23+L24+L28+L29+L30+L31</f>
        <v>39606498</v>
      </c>
      <c r="M21" s="875">
        <f>M22+M23+M24+M28+M29+M30+M31</f>
        <v>27970755</v>
      </c>
      <c r="N21" s="875">
        <f>N22+N23+N24+N28+N29+N30+N31</f>
        <v>23570576</v>
      </c>
      <c r="O21" s="875">
        <f>O22+O23+O24+O28+O29+O30+O31</f>
        <v>17708105</v>
      </c>
      <c r="P21" s="875">
        <f t="shared" si="12"/>
        <v>17697957</v>
      </c>
      <c r="Q21" s="875">
        <f t="shared" si="12"/>
        <v>0</v>
      </c>
      <c r="R21" s="878">
        <f>SUM(P21/O21)</f>
        <v>0.9994269290813443</v>
      </c>
      <c r="S21" s="874">
        <f>SUM(S22:S31)</f>
        <v>190500</v>
      </c>
      <c r="T21" s="875">
        <f>SUM(T22:T31)</f>
        <v>190500</v>
      </c>
      <c r="U21" s="875">
        <f>SUM(U22:U31)</f>
        <v>190500</v>
      </c>
      <c r="V21" s="875">
        <f>SUM(V22:V31)</f>
        <v>190500</v>
      </c>
      <c r="W21" s="875">
        <f>SUM(W22:W31)</f>
        <v>91717</v>
      </c>
      <c r="X21" s="875">
        <f>X22+X23+X24+X28+X29+X30+X31</f>
        <v>0</v>
      </c>
      <c r="Y21" s="878">
        <f>W21/V21</f>
        <v>0.4814540682414698</v>
      </c>
      <c r="Z21" s="279"/>
    </row>
    <row r="22" spans="1:25" ht="21.75" customHeight="1">
      <c r="A22" s="893"/>
      <c r="B22" s="71" t="s">
        <v>38</v>
      </c>
      <c r="C22" s="1834" t="s">
        <v>291</v>
      </c>
      <c r="D22" s="1834"/>
      <c r="E22" s="894">
        <v>11131866</v>
      </c>
      <c r="F22" s="895">
        <v>11131866</v>
      </c>
      <c r="G22" s="895">
        <v>11131866</v>
      </c>
      <c r="H22" s="895">
        <v>13194903</v>
      </c>
      <c r="I22" s="895">
        <v>13148831</v>
      </c>
      <c r="J22" s="895"/>
      <c r="K22" s="1754">
        <f t="shared" si="10"/>
        <v>0.9965083487161671</v>
      </c>
      <c r="L22" s="849">
        <f aca="true" t="shared" si="13" ref="L22:Q22">E22-S22</f>
        <v>10941366</v>
      </c>
      <c r="M22" s="837">
        <f t="shared" si="13"/>
        <v>10941366</v>
      </c>
      <c r="N22" s="837">
        <f t="shared" si="13"/>
        <v>10941366</v>
      </c>
      <c r="O22" s="837">
        <f t="shared" si="13"/>
        <v>13004403</v>
      </c>
      <c r="P22" s="885">
        <f t="shared" si="13"/>
        <v>13057114</v>
      </c>
      <c r="Q22" s="837">
        <f t="shared" si="13"/>
        <v>0</v>
      </c>
      <c r="R22" s="1754">
        <f aca="true" t="shared" si="14" ref="R22:R46">SUM(P22/O22)</f>
        <v>1.004053319479564</v>
      </c>
      <c r="S22" s="894">
        <v>190500</v>
      </c>
      <c r="T22" s="895">
        <v>190500</v>
      </c>
      <c r="U22" s="895">
        <v>190500</v>
      </c>
      <c r="V22" s="895">
        <v>190500</v>
      </c>
      <c r="W22" s="895">
        <v>91717</v>
      </c>
      <c r="X22" s="895"/>
      <c r="Y22" s="666">
        <f>W22/V22</f>
        <v>0.4814540682414698</v>
      </c>
    </row>
    <row r="23" spans="1:25" ht="21.75" customHeight="1">
      <c r="A23" s="883"/>
      <c r="B23" s="65" t="s">
        <v>39</v>
      </c>
      <c r="C23" s="1821" t="s">
        <v>323</v>
      </c>
      <c r="D23" s="1821"/>
      <c r="E23" s="838">
        <v>3983000</v>
      </c>
      <c r="F23" s="839">
        <v>3983000</v>
      </c>
      <c r="G23" s="839">
        <v>3983000</v>
      </c>
      <c r="H23" s="839">
        <v>1991799</v>
      </c>
      <c r="I23" s="839">
        <v>1991799</v>
      </c>
      <c r="J23" s="839"/>
      <c r="K23" s="1754">
        <f t="shared" si="10"/>
        <v>1</v>
      </c>
      <c r="L23" s="849">
        <f>E23</f>
        <v>3983000</v>
      </c>
      <c r="M23" s="837">
        <f>F23</f>
        <v>3983000</v>
      </c>
      <c r="N23" s="837">
        <f>G23</f>
        <v>3983000</v>
      </c>
      <c r="O23" s="837">
        <f>H23</f>
        <v>1991799</v>
      </c>
      <c r="P23" s="885">
        <f>I23-W23</f>
        <v>1991799</v>
      </c>
      <c r="Q23" s="837">
        <f>J23</f>
        <v>0</v>
      </c>
      <c r="R23" s="1754">
        <f t="shared" si="14"/>
        <v>1</v>
      </c>
      <c r="S23" s="838">
        <v>0</v>
      </c>
      <c r="T23" s="839">
        <v>0</v>
      </c>
      <c r="U23" s="839">
        <v>0</v>
      </c>
      <c r="V23" s="839">
        <v>0</v>
      </c>
      <c r="W23" s="839">
        <v>0</v>
      </c>
      <c r="X23" s="839"/>
      <c r="Y23" s="656"/>
    </row>
    <row r="24" spans="1:25" ht="21.75" customHeight="1">
      <c r="A24" s="883"/>
      <c r="B24" s="65" t="s">
        <v>40</v>
      </c>
      <c r="C24" s="1821" t="s">
        <v>293</v>
      </c>
      <c r="D24" s="1821"/>
      <c r="E24" s="324">
        <f aca="true" t="shared" si="15" ref="E24:J24">SUM(E25:E27)</f>
        <v>1325401</v>
      </c>
      <c r="F24" s="249">
        <f t="shared" si="15"/>
        <v>1325401</v>
      </c>
      <c r="G24" s="249">
        <f t="shared" si="15"/>
        <v>1325401</v>
      </c>
      <c r="H24" s="249">
        <f t="shared" si="15"/>
        <v>643286</v>
      </c>
      <c r="I24" s="249">
        <f t="shared" si="15"/>
        <v>643286</v>
      </c>
      <c r="J24" s="249">
        <f t="shared" si="15"/>
        <v>0</v>
      </c>
      <c r="K24" s="1754">
        <f t="shared" si="10"/>
        <v>1</v>
      </c>
      <c r="L24" s="324">
        <f aca="true" t="shared" si="16" ref="L24:Q24">SUM(L25:L27)</f>
        <v>1325401</v>
      </c>
      <c r="M24" s="249">
        <f>SUM(M25:M27)</f>
        <v>1325401</v>
      </c>
      <c r="N24" s="249">
        <f>SUM(N25:N27)</f>
        <v>1325401</v>
      </c>
      <c r="O24" s="249">
        <f>SUM(O25:O27)</f>
        <v>643286</v>
      </c>
      <c r="P24" s="249">
        <f t="shared" si="16"/>
        <v>643286</v>
      </c>
      <c r="Q24" s="249">
        <f t="shared" si="16"/>
        <v>0</v>
      </c>
      <c r="R24" s="1754">
        <f t="shared" si="14"/>
        <v>1</v>
      </c>
      <c r="S24" s="324">
        <v>0</v>
      </c>
      <c r="T24" s="249">
        <v>0</v>
      </c>
      <c r="U24" s="249">
        <v>0</v>
      </c>
      <c r="V24" s="249">
        <v>0</v>
      </c>
      <c r="W24" s="249">
        <v>0</v>
      </c>
      <c r="X24" s="249"/>
      <c r="Y24" s="656"/>
    </row>
    <row r="25" spans="1:25" ht="21.75" customHeight="1">
      <c r="A25" s="883"/>
      <c r="B25" s="65"/>
      <c r="C25" s="65" t="s">
        <v>95</v>
      </c>
      <c r="D25" s="285" t="s">
        <v>294</v>
      </c>
      <c r="E25" s="838">
        <f>1325401-495753</f>
        <v>829648</v>
      </c>
      <c r="F25" s="839">
        <f>1325401-495753</f>
        <v>829648</v>
      </c>
      <c r="G25" s="839">
        <f>1325401-495753</f>
        <v>829648</v>
      </c>
      <c r="H25" s="839">
        <v>252928</v>
      </c>
      <c r="I25" s="839">
        <v>252928</v>
      </c>
      <c r="J25" s="839"/>
      <c r="K25" s="1754">
        <f t="shared" si="10"/>
        <v>1</v>
      </c>
      <c r="L25" s="849">
        <f aca="true" t="shared" si="17" ref="L25:O27">E25</f>
        <v>829648</v>
      </c>
      <c r="M25" s="837">
        <f t="shared" si="17"/>
        <v>829648</v>
      </c>
      <c r="N25" s="837">
        <f t="shared" si="17"/>
        <v>829648</v>
      </c>
      <c r="O25" s="837">
        <f t="shared" si="17"/>
        <v>252928</v>
      </c>
      <c r="P25" s="885">
        <f aca="true" t="shared" si="18" ref="P25:P31">I25-W25</f>
        <v>252928</v>
      </c>
      <c r="Q25" s="837">
        <f>J25</f>
        <v>0</v>
      </c>
      <c r="R25" s="1754">
        <f t="shared" si="14"/>
        <v>1</v>
      </c>
      <c r="S25" s="838">
        <v>0</v>
      </c>
      <c r="T25" s="839">
        <v>0</v>
      </c>
      <c r="U25" s="839">
        <v>0</v>
      </c>
      <c r="V25" s="839">
        <v>0</v>
      </c>
      <c r="W25" s="839">
        <v>0</v>
      </c>
      <c r="X25" s="839"/>
      <c r="Y25" s="656"/>
    </row>
    <row r="26" spans="1:25" ht="41.25" customHeight="1">
      <c r="A26" s="883"/>
      <c r="B26" s="65"/>
      <c r="C26" s="65" t="s">
        <v>96</v>
      </c>
      <c r="D26" s="285" t="s">
        <v>295</v>
      </c>
      <c r="E26" s="838">
        <v>495753</v>
      </c>
      <c r="F26" s="839">
        <v>495753</v>
      </c>
      <c r="G26" s="839">
        <v>495753</v>
      </c>
      <c r="H26" s="839">
        <v>390358</v>
      </c>
      <c r="I26" s="839">
        <v>390358</v>
      </c>
      <c r="J26" s="839"/>
      <c r="K26" s="1754">
        <f t="shared" si="10"/>
        <v>1</v>
      </c>
      <c r="L26" s="849">
        <f t="shared" si="17"/>
        <v>495753</v>
      </c>
      <c r="M26" s="837">
        <f t="shared" si="17"/>
        <v>495753</v>
      </c>
      <c r="N26" s="837">
        <f t="shared" si="17"/>
        <v>495753</v>
      </c>
      <c r="O26" s="837">
        <f t="shared" si="17"/>
        <v>390358</v>
      </c>
      <c r="P26" s="885">
        <f t="shared" si="18"/>
        <v>390358</v>
      </c>
      <c r="Q26" s="837">
        <f>J26</f>
        <v>0</v>
      </c>
      <c r="R26" s="1754">
        <f t="shared" si="14"/>
        <v>1</v>
      </c>
      <c r="S26" s="838">
        <v>0</v>
      </c>
      <c r="T26" s="839">
        <v>0</v>
      </c>
      <c r="U26" s="839">
        <v>0</v>
      </c>
      <c r="V26" s="839">
        <v>0</v>
      </c>
      <c r="W26" s="839">
        <v>0</v>
      </c>
      <c r="X26" s="839"/>
      <c r="Y26" s="656"/>
    </row>
    <row r="27" spans="1:25" ht="21.75" customHeight="1">
      <c r="A27" s="883"/>
      <c r="B27" s="65"/>
      <c r="C27" s="65" t="s">
        <v>97</v>
      </c>
      <c r="D27" s="285" t="s">
        <v>478</v>
      </c>
      <c r="E27" s="838"/>
      <c r="F27" s="839"/>
      <c r="G27" s="839"/>
      <c r="H27" s="839"/>
      <c r="I27" s="839"/>
      <c r="J27" s="839"/>
      <c r="K27" s="840"/>
      <c r="L27" s="849">
        <f t="shared" si="17"/>
        <v>0</v>
      </c>
      <c r="M27" s="837">
        <f t="shared" si="17"/>
        <v>0</v>
      </c>
      <c r="N27" s="837">
        <f t="shared" si="17"/>
        <v>0</v>
      </c>
      <c r="O27" s="837">
        <f t="shared" si="17"/>
        <v>0</v>
      </c>
      <c r="P27" s="885">
        <f t="shared" si="18"/>
        <v>0</v>
      </c>
      <c r="Q27" s="837">
        <f>J27</f>
        <v>0</v>
      </c>
      <c r="R27" s="1754"/>
      <c r="S27" s="838">
        <v>0</v>
      </c>
      <c r="T27" s="839">
        <v>0</v>
      </c>
      <c r="U27" s="839">
        <v>0</v>
      </c>
      <c r="V27" s="839">
        <v>0</v>
      </c>
      <c r="W27" s="839">
        <v>0</v>
      </c>
      <c r="X27" s="839"/>
      <c r="Y27" s="656"/>
    </row>
    <row r="28" spans="1:25" ht="21.75" customHeight="1">
      <c r="A28" s="883"/>
      <c r="B28" s="65" t="s">
        <v>261</v>
      </c>
      <c r="C28" s="1821" t="s">
        <v>296</v>
      </c>
      <c r="D28" s="1821"/>
      <c r="E28" s="838">
        <v>1115910</v>
      </c>
      <c r="F28" s="839">
        <v>1115910</v>
      </c>
      <c r="G28" s="839">
        <v>1115910</v>
      </c>
      <c r="H28" s="839">
        <v>811495</v>
      </c>
      <c r="I28" s="839">
        <v>807667</v>
      </c>
      <c r="J28" s="839"/>
      <c r="K28" s="1754">
        <f>I28/H28</f>
        <v>0.995282780547015</v>
      </c>
      <c r="L28" s="849">
        <f aca="true" t="shared" si="19" ref="L28:O29">E28-S28</f>
        <v>1115910</v>
      </c>
      <c r="M28" s="837">
        <f t="shared" si="19"/>
        <v>1115910</v>
      </c>
      <c r="N28" s="837">
        <f t="shared" si="19"/>
        <v>1115910</v>
      </c>
      <c r="O28" s="837">
        <f t="shared" si="19"/>
        <v>811495</v>
      </c>
      <c r="P28" s="885">
        <f t="shared" si="18"/>
        <v>807667</v>
      </c>
      <c r="Q28" s="837">
        <f>J28-X28</f>
        <v>0</v>
      </c>
      <c r="R28" s="1754">
        <f t="shared" si="14"/>
        <v>0.995282780547015</v>
      </c>
      <c r="S28" s="838">
        <v>0</v>
      </c>
      <c r="T28" s="839">
        <v>0</v>
      </c>
      <c r="U28" s="839">
        <v>0</v>
      </c>
      <c r="V28" s="839">
        <v>0</v>
      </c>
      <c r="W28" s="839">
        <v>0</v>
      </c>
      <c r="X28" s="839"/>
      <c r="Y28" s="656"/>
    </row>
    <row r="29" spans="1:25" ht="21.75" customHeight="1">
      <c r="A29" s="896"/>
      <c r="B29" s="74" t="s">
        <v>297</v>
      </c>
      <c r="C29" s="1821" t="s">
        <v>504</v>
      </c>
      <c r="D29" s="1821"/>
      <c r="E29" s="838"/>
      <c r="F29" s="839">
        <v>229308</v>
      </c>
      <c r="G29" s="839">
        <v>229308</v>
      </c>
      <c r="H29" s="839">
        <v>229308</v>
      </c>
      <c r="I29" s="839">
        <v>229308</v>
      </c>
      <c r="J29" s="839"/>
      <c r="K29" s="1754">
        <f aca="true" t="shared" si="20" ref="K29:K46">I29/H29</f>
        <v>1</v>
      </c>
      <c r="L29" s="849">
        <f t="shared" si="19"/>
        <v>0</v>
      </c>
      <c r="M29" s="837">
        <f t="shared" si="19"/>
        <v>229308</v>
      </c>
      <c r="N29" s="837">
        <f t="shared" si="19"/>
        <v>229308</v>
      </c>
      <c r="O29" s="837">
        <f t="shared" si="19"/>
        <v>229308</v>
      </c>
      <c r="P29" s="885">
        <f t="shared" si="18"/>
        <v>229308</v>
      </c>
      <c r="Q29" s="837">
        <f>J29-X29</f>
        <v>0</v>
      </c>
      <c r="R29" s="1754">
        <f t="shared" si="14"/>
        <v>1</v>
      </c>
      <c r="S29" s="838">
        <v>0</v>
      </c>
      <c r="T29" s="839">
        <v>0</v>
      </c>
      <c r="U29" s="839">
        <v>0</v>
      </c>
      <c r="V29" s="839">
        <v>0</v>
      </c>
      <c r="W29" s="839">
        <v>0</v>
      </c>
      <c r="X29" s="839"/>
      <c r="Y29" s="656"/>
    </row>
    <row r="30" spans="1:25" ht="21.75" customHeight="1">
      <c r="A30" s="896"/>
      <c r="B30" s="74" t="s">
        <v>299</v>
      </c>
      <c r="C30" s="1821" t="s">
        <v>300</v>
      </c>
      <c r="D30" s="1821"/>
      <c r="E30" s="838">
        <v>100000</v>
      </c>
      <c r="F30" s="839">
        <v>100000</v>
      </c>
      <c r="G30" s="839">
        <v>100000</v>
      </c>
      <c r="H30" s="839">
        <v>100000</v>
      </c>
      <c r="I30" s="839">
        <v>40969</v>
      </c>
      <c r="J30" s="839"/>
      <c r="K30" s="1754">
        <f t="shared" si="20"/>
        <v>0.40969</v>
      </c>
      <c r="L30" s="849">
        <f aca="true" t="shared" si="21" ref="L30:O31">E30</f>
        <v>100000</v>
      </c>
      <c r="M30" s="837">
        <f t="shared" si="21"/>
        <v>100000</v>
      </c>
      <c r="N30" s="837">
        <f t="shared" si="21"/>
        <v>100000</v>
      </c>
      <c r="O30" s="837">
        <f t="shared" si="21"/>
        <v>100000</v>
      </c>
      <c r="P30" s="885">
        <f t="shared" si="18"/>
        <v>40969</v>
      </c>
      <c r="Q30" s="837">
        <f>J30</f>
        <v>0</v>
      </c>
      <c r="R30" s="1754">
        <f t="shared" si="14"/>
        <v>0.40969</v>
      </c>
      <c r="S30" s="838">
        <v>0</v>
      </c>
      <c r="T30" s="839">
        <v>0</v>
      </c>
      <c r="U30" s="839">
        <v>0</v>
      </c>
      <c r="V30" s="839">
        <v>0</v>
      </c>
      <c r="W30" s="839">
        <v>0</v>
      </c>
      <c r="X30" s="839"/>
      <c r="Y30" s="656"/>
    </row>
    <row r="31" spans="1:25" ht="21.75" customHeight="1" thickBot="1">
      <c r="A31" s="896"/>
      <c r="B31" s="74" t="s">
        <v>68</v>
      </c>
      <c r="C31" s="1835" t="s">
        <v>69</v>
      </c>
      <c r="D31" s="1835"/>
      <c r="E31" s="838">
        <v>22140821</v>
      </c>
      <c r="F31" s="839">
        <v>10275770</v>
      </c>
      <c r="G31" s="839">
        <v>5875591</v>
      </c>
      <c r="H31" s="839">
        <v>927814</v>
      </c>
      <c r="I31" s="839">
        <v>927814</v>
      </c>
      <c r="J31" s="839"/>
      <c r="K31" s="1754">
        <f t="shared" si="20"/>
        <v>1</v>
      </c>
      <c r="L31" s="849">
        <f t="shared" si="21"/>
        <v>22140821</v>
      </c>
      <c r="M31" s="837">
        <f t="shared" si="21"/>
        <v>10275770</v>
      </c>
      <c r="N31" s="837">
        <f t="shared" si="21"/>
        <v>5875591</v>
      </c>
      <c r="O31" s="837">
        <f t="shared" si="21"/>
        <v>927814</v>
      </c>
      <c r="P31" s="885">
        <f t="shared" si="18"/>
        <v>927814</v>
      </c>
      <c r="Q31" s="837">
        <f>J31</f>
        <v>0</v>
      </c>
      <c r="R31" s="1754">
        <f t="shared" si="14"/>
        <v>1</v>
      </c>
      <c r="S31" s="838">
        <v>0</v>
      </c>
      <c r="T31" s="839">
        <v>0</v>
      </c>
      <c r="U31" s="839">
        <v>0</v>
      </c>
      <c r="V31" s="839">
        <v>0</v>
      </c>
      <c r="W31" s="839">
        <v>0</v>
      </c>
      <c r="X31" s="839"/>
      <c r="Y31" s="656"/>
    </row>
    <row r="32" spans="1:25" ht="21.75" customHeight="1" thickBot="1">
      <c r="A32" s="897" t="s">
        <v>9</v>
      </c>
      <c r="B32" s="1829" t="s">
        <v>301</v>
      </c>
      <c r="C32" s="1829"/>
      <c r="D32" s="1829"/>
      <c r="E32" s="316">
        <f aca="true" t="shared" si="22" ref="E32:J32">SUM(E33:E37)</f>
        <v>326093376</v>
      </c>
      <c r="F32" s="79">
        <f>SUM(F33:F37)</f>
        <v>337958427</v>
      </c>
      <c r="G32" s="79">
        <f>SUM(G33:G37)</f>
        <v>356929703</v>
      </c>
      <c r="H32" s="79">
        <f>SUM(H33:H37)</f>
        <v>363160225</v>
      </c>
      <c r="I32" s="79">
        <f t="shared" si="22"/>
        <v>361288225</v>
      </c>
      <c r="J32" s="79">
        <f t="shared" si="22"/>
        <v>0</v>
      </c>
      <c r="K32" s="878">
        <f>I32/H32</f>
        <v>0.9948452504676139</v>
      </c>
      <c r="L32" s="316">
        <f aca="true" t="shared" si="23" ref="L32:S32">SUM(L33:L37)</f>
        <v>321280777</v>
      </c>
      <c r="M32" s="79">
        <f>SUM(M33:M37)</f>
        <v>333145828</v>
      </c>
      <c r="N32" s="79">
        <f>SUM(N33:N37)</f>
        <v>352117104</v>
      </c>
      <c r="O32" s="79">
        <f>SUM(O33:O37)</f>
        <v>358347625</v>
      </c>
      <c r="P32" s="79">
        <f t="shared" si="23"/>
        <v>356475625</v>
      </c>
      <c r="Q32" s="79">
        <f t="shared" si="23"/>
        <v>0</v>
      </c>
      <c r="R32" s="878">
        <f>SUM(P32/O32)</f>
        <v>0.9947760223051569</v>
      </c>
      <c r="S32" s="316">
        <f t="shared" si="23"/>
        <v>4812599</v>
      </c>
      <c r="T32" s="79">
        <f>SUM(T33:T37)</f>
        <v>4812599</v>
      </c>
      <c r="U32" s="79">
        <f>SUM(U33:U37)</f>
        <v>4812599</v>
      </c>
      <c r="V32" s="79">
        <f>SUM(V33:V37)</f>
        <v>4812600</v>
      </c>
      <c r="W32" s="79">
        <f>SUM(W33:W37)</f>
        <v>4812600</v>
      </c>
      <c r="X32" s="79"/>
      <c r="Y32" s="878">
        <f>W32/V32</f>
        <v>1</v>
      </c>
    </row>
    <row r="33" spans="1:27" ht="21.75" customHeight="1">
      <c r="A33" s="893"/>
      <c r="B33" s="74" t="s">
        <v>41</v>
      </c>
      <c r="C33" s="1896" t="s">
        <v>302</v>
      </c>
      <c r="D33" s="1896"/>
      <c r="E33" s="843">
        <v>294726379</v>
      </c>
      <c r="F33" s="844">
        <f>91465304+47989850+144380866+19151279+3604131</f>
        <v>306591430</v>
      </c>
      <c r="G33" s="844">
        <f>92284228+51309920+156788625+18485371+4896946</f>
        <v>323765090</v>
      </c>
      <c r="H33" s="844">
        <f>92655358+52389470+159496227+18722905+5101150</f>
        <v>328365110</v>
      </c>
      <c r="I33" s="844">
        <v>328365110</v>
      </c>
      <c r="J33" s="844"/>
      <c r="K33" s="1754">
        <f t="shared" si="20"/>
        <v>1</v>
      </c>
      <c r="L33" s="849">
        <f aca="true" t="shared" si="24" ref="L33:O34">E33</f>
        <v>294726379</v>
      </c>
      <c r="M33" s="837">
        <f t="shared" si="24"/>
        <v>306591430</v>
      </c>
      <c r="N33" s="837">
        <f t="shared" si="24"/>
        <v>323765090</v>
      </c>
      <c r="O33" s="837">
        <f t="shared" si="24"/>
        <v>328365110</v>
      </c>
      <c r="P33" s="885">
        <f>I33-W33</f>
        <v>328365110</v>
      </c>
      <c r="Q33" s="837">
        <f>J33</f>
        <v>0</v>
      </c>
      <c r="R33" s="1754">
        <f t="shared" si="14"/>
        <v>1</v>
      </c>
      <c r="S33" s="843">
        <v>0</v>
      </c>
      <c r="T33" s="844">
        <v>0</v>
      </c>
      <c r="U33" s="844">
        <v>0</v>
      </c>
      <c r="V33" s="844">
        <v>0</v>
      </c>
      <c r="W33" s="844">
        <v>0</v>
      </c>
      <c r="X33" s="844"/>
      <c r="Y33" s="817"/>
      <c r="AA33" s="279"/>
    </row>
    <row r="34" spans="1:25" ht="21.75" customHeight="1">
      <c r="A34" s="883"/>
      <c r="B34" s="74" t="s">
        <v>42</v>
      </c>
      <c r="C34" s="1821" t="s">
        <v>473</v>
      </c>
      <c r="D34" s="1821"/>
      <c r="E34" s="838"/>
      <c r="F34" s="839"/>
      <c r="G34" s="839"/>
      <c r="H34" s="839">
        <v>1714500</v>
      </c>
      <c r="I34" s="839">
        <v>1714500</v>
      </c>
      <c r="J34" s="839"/>
      <c r="K34" s="1754">
        <f t="shared" si="20"/>
        <v>1</v>
      </c>
      <c r="L34" s="849">
        <f t="shared" si="24"/>
        <v>0</v>
      </c>
      <c r="M34" s="837">
        <f t="shared" si="24"/>
        <v>0</v>
      </c>
      <c r="N34" s="837">
        <f t="shared" si="24"/>
        <v>0</v>
      </c>
      <c r="O34" s="837">
        <f t="shared" si="24"/>
        <v>1714500</v>
      </c>
      <c r="P34" s="885">
        <f>I34-W34</f>
        <v>1714500</v>
      </c>
      <c r="Q34" s="837">
        <f>J34</f>
        <v>0</v>
      </c>
      <c r="R34" s="1754">
        <f t="shared" si="14"/>
        <v>1</v>
      </c>
      <c r="S34" s="838">
        <v>0</v>
      </c>
      <c r="T34" s="839">
        <v>0</v>
      </c>
      <c r="U34" s="839">
        <v>0</v>
      </c>
      <c r="V34" s="839">
        <v>0</v>
      </c>
      <c r="W34" s="839">
        <v>0</v>
      </c>
      <c r="X34" s="839"/>
      <c r="Y34" s="656"/>
    </row>
    <row r="35" spans="1:25" ht="21.75" customHeight="1">
      <c r="A35" s="883"/>
      <c r="B35" s="74" t="s">
        <v>66</v>
      </c>
      <c r="C35" s="1821" t="s">
        <v>565</v>
      </c>
      <c r="D35" s="1821"/>
      <c r="E35" s="838"/>
      <c r="F35" s="839"/>
      <c r="G35" s="839">
        <v>622616</v>
      </c>
      <c r="H35" s="839">
        <v>622616</v>
      </c>
      <c r="I35" s="839">
        <v>622616</v>
      </c>
      <c r="J35" s="839">
        <v>0</v>
      </c>
      <c r="K35" s="1754">
        <f t="shared" si="20"/>
        <v>1</v>
      </c>
      <c r="L35" s="838">
        <v>0</v>
      </c>
      <c r="M35" s="839">
        <v>0</v>
      </c>
      <c r="N35" s="839">
        <f>+G35-U35</f>
        <v>622616</v>
      </c>
      <c r="O35" s="839">
        <f>+H35-V35</f>
        <v>622616</v>
      </c>
      <c r="P35" s="839">
        <v>622616</v>
      </c>
      <c r="Q35" s="839">
        <v>0</v>
      </c>
      <c r="R35" s="1754">
        <f t="shared" si="14"/>
        <v>1</v>
      </c>
      <c r="S35" s="838">
        <v>0</v>
      </c>
      <c r="T35" s="839">
        <v>0</v>
      </c>
      <c r="U35" s="839">
        <v>0</v>
      </c>
      <c r="V35" s="839">
        <v>0</v>
      </c>
      <c r="W35" s="839">
        <v>0</v>
      </c>
      <c r="X35" s="839"/>
      <c r="Y35" s="656"/>
    </row>
    <row r="36" spans="1:25" ht="21.75" customHeight="1">
      <c r="A36" s="883"/>
      <c r="B36" s="74" t="s">
        <v>67</v>
      </c>
      <c r="C36" s="1821" t="s">
        <v>342</v>
      </c>
      <c r="D36" s="1821"/>
      <c r="E36" s="838"/>
      <c r="F36" s="839"/>
      <c r="G36" s="839"/>
      <c r="H36" s="839"/>
      <c r="I36" s="839">
        <v>0</v>
      </c>
      <c r="J36" s="839">
        <v>0</v>
      </c>
      <c r="K36" s="1754"/>
      <c r="L36" s="838">
        <v>0</v>
      </c>
      <c r="M36" s="839">
        <v>0</v>
      </c>
      <c r="N36" s="839">
        <v>0</v>
      </c>
      <c r="O36" s="839">
        <v>0</v>
      </c>
      <c r="P36" s="839">
        <v>0</v>
      </c>
      <c r="Q36" s="839">
        <v>0</v>
      </c>
      <c r="R36" s="858">
        <v>0</v>
      </c>
      <c r="S36" s="838">
        <v>0</v>
      </c>
      <c r="T36" s="839">
        <v>0</v>
      </c>
      <c r="U36" s="839">
        <v>0</v>
      </c>
      <c r="V36" s="839">
        <v>0</v>
      </c>
      <c r="W36" s="839">
        <v>0</v>
      </c>
      <c r="X36" s="839"/>
      <c r="Y36" s="656"/>
    </row>
    <row r="37" spans="1:25" ht="21.75" customHeight="1">
      <c r="A37" s="883"/>
      <c r="B37" s="74" t="s">
        <v>338</v>
      </c>
      <c r="C37" s="1821" t="s">
        <v>303</v>
      </c>
      <c r="D37" s="1821"/>
      <c r="E37" s="324">
        <f aca="true" t="shared" si="25" ref="E37:J37">SUM(E38:E40)</f>
        <v>31366997</v>
      </c>
      <c r="F37" s="249">
        <f>SUM(F38:F40)</f>
        <v>31366997</v>
      </c>
      <c r="G37" s="249">
        <f>SUM(G38:G40)</f>
        <v>32541997</v>
      </c>
      <c r="H37" s="249">
        <f>SUM(H38:H40)</f>
        <v>32457999</v>
      </c>
      <c r="I37" s="249">
        <f t="shared" si="25"/>
        <v>30585999</v>
      </c>
      <c r="J37" s="249">
        <f t="shared" si="25"/>
        <v>0</v>
      </c>
      <c r="K37" s="1754">
        <f t="shared" si="20"/>
        <v>0.9423254649801425</v>
      </c>
      <c r="L37" s="324">
        <f aca="true" t="shared" si="26" ref="L37:S37">SUM(L38:L40)</f>
        <v>26554398</v>
      </c>
      <c r="M37" s="249">
        <f>SUM(M38:M40)</f>
        <v>26554398</v>
      </c>
      <c r="N37" s="249">
        <f>SUM(N38:N40)</f>
        <v>27729398</v>
      </c>
      <c r="O37" s="249">
        <f>SUM(O38:O40)</f>
        <v>27645399</v>
      </c>
      <c r="P37" s="249">
        <f t="shared" si="26"/>
        <v>25773399</v>
      </c>
      <c r="Q37" s="249">
        <f t="shared" si="26"/>
        <v>0</v>
      </c>
      <c r="R37" s="1754">
        <f t="shared" si="14"/>
        <v>0.9322852963706547</v>
      </c>
      <c r="S37" s="324">
        <f t="shared" si="26"/>
        <v>4812599</v>
      </c>
      <c r="T37" s="249">
        <f>SUM(T38:T40)</f>
        <v>4812599</v>
      </c>
      <c r="U37" s="249">
        <f>SUM(U38:U40)</f>
        <v>4812599</v>
      </c>
      <c r="V37" s="249">
        <f>SUM(V38:V40)</f>
        <v>4812600</v>
      </c>
      <c r="W37" s="249">
        <f>SUM(W38:W40)</f>
        <v>4812600</v>
      </c>
      <c r="X37" s="249">
        <f>SUM(X38:X40)</f>
        <v>0</v>
      </c>
      <c r="Y37" s="666">
        <f>W37/V37</f>
        <v>1</v>
      </c>
    </row>
    <row r="38" spans="1:25" ht="21.75" customHeight="1">
      <c r="A38" s="883"/>
      <c r="B38" s="74"/>
      <c r="C38" s="71" t="s">
        <v>339</v>
      </c>
      <c r="D38" s="547" t="s">
        <v>32</v>
      </c>
      <c r="E38" s="838">
        <v>12222000</v>
      </c>
      <c r="F38" s="839">
        <v>12222000</v>
      </c>
      <c r="G38" s="839">
        <f>12222000+1175000</f>
        <v>13397000</v>
      </c>
      <c r="H38" s="839">
        <f>14526100+187200</f>
        <v>14713300</v>
      </c>
      <c r="I38" s="839">
        <v>14713300</v>
      </c>
      <c r="J38" s="839"/>
      <c r="K38" s="1754">
        <f t="shared" si="20"/>
        <v>1</v>
      </c>
      <c r="L38" s="849">
        <f>E38</f>
        <v>12222000</v>
      </c>
      <c r="M38" s="837">
        <f>F38</f>
        <v>12222000</v>
      </c>
      <c r="N38" s="837">
        <f>G38</f>
        <v>13397000</v>
      </c>
      <c r="O38" s="837">
        <f>H38</f>
        <v>14713300</v>
      </c>
      <c r="P38" s="885">
        <f>I38-W38</f>
        <v>14713300</v>
      </c>
      <c r="Q38" s="837">
        <f>J38</f>
        <v>0</v>
      </c>
      <c r="R38" s="1754">
        <f t="shared" si="14"/>
        <v>1</v>
      </c>
      <c r="S38" s="838">
        <v>0</v>
      </c>
      <c r="T38" s="839">
        <v>0</v>
      </c>
      <c r="U38" s="839">
        <v>0</v>
      </c>
      <c r="V38" s="839">
        <v>0</v>
      </c>
      <c r="W38" s="839">
        <v>0</v>
      </c>
      <c r="X38" s="839"/>
      <c r="Y38" s="656"/>
    </row>
    <row r="39" spans="1:28" ht="21.75" customHeight="1">
      <c r="A39" s="883"/>
      <c r="B39" s="74"/>
      <c r="C39" s="65" t="s">
        <v>340</v>
      </c>
      <c r="D39" s="285" t="s">
        <v>31</v>
      </c>
      <c r="E39" s="838">
        <v>11010599</v>
      </c>
      <c r="F39" s="839">
        <v>11010599</v>
      </c>
      <c r="G39" s="839">
        <v>11010599</v>
      </c>
      <c r="H39" s="839">
        <f>4812600+6198000</f>
        <v>11010600</v>
      </c>
      <c r="I39" s="839">
        <v>9138600</v>
      </c>
      <c r="J39" s="839"/>
      <c r="K39" s="1754">
        <f t="shared" si="20"/>
        <v>0.8299820173287559</v>
      </c>
      <c r="L39" s="849">
        <f>E39-S39</f>
        <v>6198000</v>
      </c>
      <c r="M39" s="837">
        <f>F39-T39</f>
        <v>6198000</v>
      </c>
      <c r="N39" s="837">
        <f>G39-U39</f>
        <v>6198000</v>
      </c>
      <c r="O39" s="837">
        <f>H39-V39</f>
        <v>6198000</v>
      </c>
      <c r="P39" s="885">
        <f>I39-W39</f>
        <v>4326000</v>
      </c>
      <c r="Q39" s="837">
        <f>J39-X39</f>
        <v>0</v>
      </c>
      <c r="R39" s="1754">
        <f t="shared" si="14"/>
        <v>0.6979670861568248</v>
      </c>
      <c r="S39" s="838">
        <v>4812599</v>
      </c>
      <c r="T39" s="839">
        <v>4812599</v>
      </c>
      <c r="U39" s="839">
        <v>4812599</v>
      </c>
      <c r="V39" s="839">
        <v>4812600</v>
      </c>
      <c r="W39" s="839">
        <v>4812600</v>
      </c>
      <c r="X39" s="839"/>
      <c r="Y39" s="666">
        <f>W39/V39</f>
        <v>1</v>
      </c>
      <c r="AB39" s="839"/>
    </row>
    <row r="40" spans="1:25" ht="21.75" customHeight="1" thickBot="1">
      <c r="A40" s="883"/>
      <c r="B40" s="74"/>
      <c r="C40" s="65" t="s">
        <v>341</v>
      </c>
      <c r="D40" s="285" t="s">
        <v>33</v>
      </c>
      <c r="E40" s="841">
        <v>8134398</v>
      </c>
      <c r="F40" s="842">
        <v>8134398</v>
      </c>
      <c r="G40" s="842">
        <v>8134398</v>
      </c>
      <c r="H40" s="842">
        <f>1545955+4993700+194444</f>
        <v>6734099</v>
      </c>
      <c r="I40" s="842">
        <v>6734099</v>
      </c>
      <c r="J40" s="842"/>
      <c r="K40" s="1754">
        <f t="shared" si="20"/>
        <v>1</v>
      </c>
      <c r="L40" s="849">
        <f>E40</f>
        <v>8134398</v>
      </c>
      <c r="M40" s="837">
        <f>F40</f>
        <v>8134398</v>
      </c>
      <c r="N40" s="837">
        <f>G40</f>
        <v>8134398</v>
      </c>
      <c r="O40" s="837">
        <f>H40</f>
        <v>6734099</v>
      </c>
      <c r="P40" s="885">
        <f>I40-W40</f>
        <v>6734099</v>
      </c>
      <c r="Q40" s="837">
        <f>J40</f>
        <v>0</v>
      </c>
      <c r="R40" s="1754">
        <f t="shared" si="14"/>
        <v>1</v>
      </c>
      <c r="S40" s="841">
        <v>0</v>
      </c>
      <c r="T40" s="842">
        <v>0</v>
      </c>
      <c r="U40" s="842">
        <v>0</v>
      </c>
      <c r="V40" s="842">
        <v>0</v>
      </c>
      <c r="W40" s="842">
        <v>0</v>
      </c>
      <c r="X40" s="842"/>
      <c r="Y40" s="657"/>
    </row>
    <row r="41" spans="1:25" ht="21.75" customHeight="1" thickBot="1">
      <c r="A41" s="897" t="s">
        <v>10</v>
      </c>
      <c r="B41" s="1829" t="s">
        <v>304</v>
      </c>
      <c r="C41" s="1829"/>
      <c r="D41" s="1829"/>
      <c r="E41" s="316">
        <f>SUM(E42:E43)</f>
        <v>1074492</v>
      </c>
      <c r="F41" s="79">
        <f>SUM(F42:F43)</f>
        <v>1074492</v>
      </c>
      <c r="G41" s="79">
        <f>SUM(G42:G43)</f>
        <v>8516873</v>
      </c>
      <c r="H41" s="79">
        <f>SUM(H42:H43)</f>
        <v>46404339</v>
      </c>
      <c r="I41" s="79">
        <f>SUM(I42:I43)</f>
        <v>46404339</v>
      </c>
      <c r="J41" s="79">
        <f>J42+J43+J47</f>
        <v>0</v>
      </c>
      <c r="K41" s="878">
        <f>I41/H41</f>
        <v>1</v>
      </c>
      <c r="L41" s="316">
        <f>L42+L43+L47</f>
        <v>1074492</v>
      </c>
      <c r="M41" s="79">
        <f>M42+M43+M47</f>
        <v>1074492</v>
      </c>
      <c r="N41" s="79">
        <f>N42+N43+N47</f>
        <v>8516873</v>
      </c>
      <c r="O41" s="79">
        <f>O42+O43+O47</f>
        <v>46404339</v>
      </c>
      <c r="P41" s="79">
        <f>SUM(P42:P43)</f>
        <v>46404339</v>
      </c>
      <c r="Q41" s="79">
        <f>Q42+Q43+Q47</f>
        <v>0</v>
      </c>
      <c r="R41" s="878">
        <f>SUM(P41/O41)</f>
        <v>1</v>
      </c>
      <c r="S41" s="316">
        <f>SUM(S42:S43)</f>
        <v>0</v>
      </c>
      <c r="T41" s="79">
        <f>SUM(T42:T43)</f>
        <v>0</v>
      </c>
      <c r="U41" s="79">
        <f>SUM(U42:U43)</f>
        <v>0</v>
      </c>
      <c r="V41" s="79">
        <f>SUM(V42:V43)</f>
        <v>0</v>
      </c>
      <c r="W41" s="79">
        <f>SUM(W42:W43)</f>
        <v>0</v>
      </c>
      <c r="X41" s="79">
        <f>X42+X43+X47</f>
        <v>0</v>
      </c>
      <c r="Y41" s="668"/>
    </row>
    <row r="42" spans="1:25" ht="21.75" customHeight="1">
      <c r="A42" s="893"/>
      <c r="B42" s="898" t="s">
        <v>305</v>
      </c>
      <c r="C42" s="1834" t="s">
        <v>307</v>
      </c>
      <c r="D42" s="1834"/>
      <c r="E42" s="846"/>
      <c r="F42" s="845"/>
      <c r="G42" s="845"/>
      <c r="H42" s="845">
        <v>2887467</v>
      </c>
      <c r="I42" s="845">
        <v>2887467</v>
      </c>
      <c r="J42" s="845"/>
      <c r="K42" s="1754">
        <f t="shared" si="20"/>
        <v>1</v>
      </c>
      <c r="L42" s="849">
        <f aca="true" t="shared" si="27" ref="L42:Q42">E42-S42</f>
        <v>0</v>
      </c>
      <c r="M42" s="837">
        <f t="shared" si="27"/>
        <v>0</v>
      </c>
      <c r="N42" s="837">
        <f t="shared" si="27"/>
        <v>0</v>
      </c>
      <c r="O42" s="837">
        <f t="shared" si="27"/>
        <v>2887467</v>
      </c>
      <c r="P42" s="885">
        <f t="shared" si="27"/>
        <v>2887467</v>
      </c>
      <c r="Q42" s="837">
        <f t="shared" si="27"/>
        <v>0</v>
      </c>
      <c r="R42" s="1754">
        <f t="shared" si="14"/>
        <v>1</v>
      </c>
      <c r="S42" s="846">
        <v>0</v>
      </c>
      <c r="T42" s="845">
        <v>0</v>
      </c>
      <c r="U42" s="845">
        <v>0</v>
      </c>
      <c r="V42" s="845">
        <v>0</v>
      </c>
      <c r="W42" s="845">
        <v>0</v>
      </c>
      <c r="X42" s="845"/>
      <c r="Y42" s="669"/>
    </row>
    <row r="43" spans="1:25" ht="21.75" customHeight="1">
      <c r="A43" s="883"/>
      <c r="B43" s="899" t="s">
        <v>306</v>
      </c>
      <c r="C43" s="1821" t="s">
        <v>308</v>
      </c>
      <c r="D43" s="1821"/>
      <c r="E43" s="324">
        <f aca="true" t="shared" si="28" ref="E43:J43">SUM(E44:E46)</f>
        <v>1074492</v>
      </c>
      <c r="F43" s="249">
        <f>SUM(F44:F46)</f>
        <v>1074492</v>
      </c>
      <c r="G43" s="249">
        <f>SUM(G44:G46)</f>
        <v>8516873</v>
      </c>
      <c r="H43" s="249">
        <f>SUM(H44:H46)</f>
        <v>43516872</v>
      </c>
      <c r="I43" s="249">
        <f t="shared" si="28"/>
        <v>43516872</v>
      </c>
      <c r="J43" s="249">
        <f t="shared" si="28"/>
        <v>0</v>
      </c>
      <c r="K43" s="1754">
        <f t="shared" si="20"/>
        <v>1</v>
      </c>
      <c r="L43" s="324">
        <f aca="true" t="shared" si="29" ref="L43:Q43">SUM(L44:L46)</f>
        <v>1074492</v>
      </c>
      <c r="M43" s="249">
        <f>SUM(M44:M46)</f>
        <v>1074492</v>
      </c>
      <c r="N43" s="249">
        <f>SUM(N44:N46)</f>
        <v>8516873</v>
      </c>
      <c r="O43" s="249">
        <f>SUM(O44:O46)</f>
        <v>43516872</v>
      </c>
      <c r="P43" s="249">
        <f t="shared" si="29"/>
        <v>43516872</v>
      </c>
      <c r="Q43" s="249">
        <f t="shared" si="29"/>
        <v>0</v>
      </c>
      <c r="R43" s="1754">
        <f t="shared" si="14"/>
        <v>1</v>
      </c>
      <c r="S43" s="324">
        <f aca="true" t="shared" si="30" ref="S43:X43">SUM(S44:S46)</f>
        <v>0</v>
      </c>
      <c r="T43" s="249">
        <f t="shared" si="30"/>
        <v>0</v>
      </c>
      <c r="U43" s="249">
        <f t="shared" si="30"/>
        <v>0</v>
      </c>
      <c r="V43" s="249">
        <f t="shared" si="30"/>
        <v>0</v>
      </c>
      <c r="W43" s="249">
        <f t="shared" si="30"/>
        <v>0</v>
      </c>
      <c r="X43" s="249">
        <f t="shared" si="30"/>
        <v>0</v>
      </c>
      <c r="Y43" s="656"/>
    </row>
    <row r="44" spans="1:25" ht="21.75" customHeight="1">
      <c r="A44" s="883"/>
      <c r="B44" s="898"/>
      <c r="C44" s="71" t="s">
        <v>309</v>
      </c>
      <c r="D44" s="547" t="s">
        <v>32</v>
      </c>
      <c r="E44" s="838">
        <v>0</v>
      </c>
      <c r="F44" s="839">
        <v>0</v>
      </c>
      <c r="G44" s="839">
        <v>0</v>
      </c>
      <c r="H44" s="839">
        <v>0</v>
      </c>
      <c r="I44" s="839">
        <v>0</v>
      </c>
      <c r="J44" s="839">
        <v>0</v>
      </c>
      <c r="K44" s="1754"/>
      <c r="L44" s="838"/>
      <c r="M44" s="839"/>
      <c r="N44" s="839"/>
      <c r="O44" s="839"/>
      <c r="P44" s="839">
        <v>0</v>
      </c>
      <c r="Q44" s="839"/>
      <c r="R44" s="858">
        <v>0</v>
      </c>
      <c r="S44" s="838">
        <v>0</v>
      </c>
      <c r="T44" s="839">
        <v>0</v>
      </c>
      <c r="U44" s="839">
        <v>0</v>
      </c>
      <c r="V44" s="839">
        <v>0</v>
      </c>
      <c r="W44" s="839">
        <v>0</v>
      </c>
      <c r="X44" s="839"/>
      <c r="Y44" s="656"/>
    </row>
    <row r="45" spans="1:25" ht="21.75" customHeight="1">
      <c r="A45" s="883"/>
      <c r="B45" s="899"/>
      <c r="C45" s="65" t="s">
        <v>310</v>
      </c>
      <c r="D45" s="547" t="s">
        <v>31</v>
      </c>
      <c r="E45" s="838">
        <v>1074492</v>
      </c>
      <c r="F45" s="839">
        <v>1074492</v>
      </c>
      <c r="G45" s="839">
        <v>1074492</v>
      </c>
      <c r="H45" s="839">
        <v>1074492</v>
      </c>
      <c r="I45" s="839">
        <v>1074492</v>
      </c>
      <c r="J45" s="839"/>
      <c r="K45" s="1754">
        <f t="shared" si="20"/>
        <v>1</v>
      </c>
      <c r="L45" s="849">
        <f aca="true" t="shared" si="31" ref="L45:Q45">E45-S45</f>
        <v>1074492</v>
      </c>
      <c r="M45" s="837">
        <f t="shared" si="31"/>
        <v>1074492</v>
      </c>
      <c r="N45" s="837">
        <f t="shared" si="31"/>
        <v>1074492</v>
      </c>
      <c r="O45" s="837">
        <f t="shared" si="31"/>
        <v>1074492</v>
      </c>
      <c r="P45" s="885">
        <f t="shared" si="31"/>
        <v>1074492</v>
      </c>
      <c r="Q45" s="837">
        <f t="shared" si="31"/>
        <v>0</v>
      </c>
      <c r="R45" s="1754">
        <f t="shared" si="14"/>
        <v>1</v>
      </c>
      <c r="S45" s="838">
        <v>0</v>
      </c>
      <c r="T45" s="839">
        <v>0</v>
      </c>
      <c r="U45" s="839">
        <v>0</v>
      </c>
      <c r="V45" s="839">
        <v>0</v>
      </c>
      <c r="W45" s="839">
        <v>0</v>
      </c>
      <c r="X45" s="839"/>
      <c r="Y45" s="656"/>
    </row>
    <row r="46" spans="1:25" ht="21.75" customHeight="1">
      <c r="A46" s="896"/>
      <c r="B46" s="898"/>
      <c r="C46" s="71" t="s">
        <v>311</v>
      </c>
      <c r="D46" s="547" t="s">
        <v>312</v>
      </c>
      <c r="E46" s="838"/>
      <c r="F46" s="839"/>
      <c r="G46" s="839">
        <v>7442381</v>
      </c>
      <c r="H46" s="839">
        <v>42442380</v>
      </c>
      <c r="I46" s="839">
        <v>42442380</v>
      </c>
      <c r="J46" s="839"/>
      <c r="K46" s="1754">
        <f t="shared" si="20"/>
        <v>1</v>
      </c>
      <c r="L46" s="838"/>
      <c r="M46" s="839"/>
      <c r="N46" s="839">
        <f>+G46-U46</f>
        <v>7442381</v>
      </c>
      <c r="O46" s="839">
        <f>+H46-V46</f>
        <v>42442380</v>
      </c>
      <c r="P46" s="885">
        <f>I46-W46</f>
        <v>42442380</v>
      </c>
      <c r="Q46" s="839"/>
      <c r="R46" s="1754">
        <f t="shared" si="14"/>
        <v>1</v>
      </c>
      <c r="S46" s="838">
        <v>0</v>
      </c>
      <c r="T46" s="839">
        <v>0</v>
      </c>
      <c r="U46" s="839">
        <v>0</v>
      </c>
      <c r="V46" s="839">
        <v>0</v>
      </c>
      <c r="W46" s="839">
        <v>0</v>
      </c>
      <c r="X46" s="839"/>
      <c r="Y46" s="656"/>
    </row>
    <row r="47" spans="1:25" ht="21.75" customHeight="1" thickBot="1">
      <c r="A47" s="900"/>
      <c r="B47" s="899" t="s">
        <v>335</v>
      </c>
      <c r="C47" s="1821" t="s">
        <v>470</v>
      </c>
      <c r="D47" s="1821"/>
      <c r="E47" s="838">
        <v>0</v>
      </c>
      <c r="F47" s="839">
        <v>0</v>
      </c>
      <c r="G47" s="839">
        <v>0</v>
      </c>
      <c r="H47" s="839">
        <v>0</v>
      </c>
      <c r="I47" s="839">
        <v>0</v>
      </c>
      <c r="J47" s="839"/>
      <c r="K47" s="1754"/>
      <c r="L47" s="849"/>
      <c r="M47" s="837"/>
      <c r="N47" s="837"/>
      <c r="O47" s="837"/>
      <c r="P47" s="839">
        <v>0</v>
      </c>
      <c r="Q47" s="837"/>
      <c r="R47" s="856">
        <f>K47-Y47</f>
        <v>0</v>
      </c>
      <c r="S47" s="838">
        <v>0</v>
      </c>
      <c r="T47" s="839">
        <v>0</v>
      </c>
      <c r="U47" s="839">
        <v>0</v>
      </c>
      <c r="V47" s="839">
        <v>0</v>
      </c>
      <c r="W47" s="839">
        <v>0</v>
      </c>
      <c r="X47" s="839">
        <f>J47</f>
        <v>0</v>
      </c>
      <c r="Y47" s="656"/>
    </row>
    <row r="48" spans="1:25" ht="21.75" customHeight="1" hidden="1" thickBot="1">
      <c r="A48" s="900"/>
      <c r="B48" s="898"/>
      <c r="C48" s="1827"/>
      <c r="D48" s="1827"/>
      <c r="E48" s="491"/>
      <c r="F48" s="492"/>
      <c r="G48" s="492"/>
      <c r="H48" s="492"/>
      <c r="I48" s="492"/>
      <c r="J48" s="492"/>
      <c r="K48" s="657" t="e">
        <f aca="true" t="shared" si="32" ref="K48:K53">I48/H48</f>
        <v>#DIV/0!</v>
      </c>
      <c r="L48" s="491"/>
      <c r="M48" s="492"/>
      <c r="N48" s="492"/>
      <c r="O48" s="492"/>
      <c r="P48" s="492"/>
      <c r="Q48" s="492"/>
      <c r="R48" s="859"/>
      <c r="S48" s="491"/>
      <c r="T48" s="492"/>
      <c r="U48" s="492"/>
      <c r="V48" s="492"/>
      <c r="W48" s="492"/>
      <c r="X48" s="492"/>
      <c r="Y48" s="657"/>
    </row>
    <row r="49" spans="1:25" ht="21.75" customHeight="1" thickBot="1">
      <c r="A49" s="897" t="s">
        <v>11</v>
      </c>
      <c r="B49" s="1829" t="s">
        <v>73</v>
      </c>
      <c r="C49" s="1829"/>
      <c r="D49" s="1829"/>
      <c r="E49" s="316">
        <f aca="true" t="shared" si="33" ref="E49:J49">E50+E51</f>
        <v>360000</v>
      </c>
      <c r="F49" s="79">
        <f>F50+F51</f>
        <v>360000</v>
      </c>
      <c r="G49" s="79">
        <f>G50+G51</f>
        <v>360000</v>
      </c>
      <c r="H49" s="79">
        <f>H50+H51</f>
        <v>360000</v>
      </c>
      <c r="I49" s="79">
        <f t="shared" si="33"/>
        <v>360000</v>
      </c>
      <c r="J49" s="79">
        <f t="shared" si="33"/>
        <v>0</v>
      </c>
      <c r="K49" s="878">
        <f t="shared" si="32"/>
        <v>1</v>
      </c>
      <c r="L49" s="316">
        <f aca="true" t="shared" si="34" ref="L49:Q49">L50+L51</f>
        <v>360000</v>
      </c>
      <c r="M49" s="79">
        <f t="shared" si="34"/>
        <v>360000</v>
      </c>
      <c r="N49" s="79">
        <f t="shared" si="34"/>
        <v>360000</v>
      </c>
      <c r="O49" s="79">
        <f t="shared" si="34"/>
        <v>360000</v>
      </c>
      <c r="P49" s="79">
        <f t="shared" si="34"/>
        <v>360000</v>
      </c>
      <c r="Q49" s="79">
        <f t="shared" si="34"/>
        <v>0</v>
      </c>
      <c r="R49" s="878">
        <f>SUM(P49/O49)</f>
        <v>1</v>
      </c>
      <c r="S49" s="316">
        <f aca="true" t="shared" si="35" ref="S49:X49">S50+S51</f>
        <v>0</v>
      </c>
      <c r="T49" s="79">
        <f t="shared" si="35"/>
        <v>0</v>
      </c>
      <c r="U49" s="79">
        <f t="shared" si="35"/>
        <v>0</v>
      </c>
      <c r="V49" s="79">
        <f t="shared" si="35"/>
        <v>0</v>
      </c>
      <c r="W49" s="79">
        <f t="shared" si="35"/>
        <v>0</v>
      </c>
      <c r="X49" s="79">
        <f t="shared" si="35"/>
        <v>0</v>
      </c>
      <c r="Y49" s="668"/>
    </row>
    <row r="50" spans="1:25" s="902" customFormat="1" ht="21.75" customHeight="1">
      <c r="A50" s="901"/>
      <c r="B50" s="898" t="s">
        <v>43</v>
      </c>
      <c r="C50" s="1834" t="s">
        <v>324</v>
      </c>
      <c r="D50" s="1834"/>
      <c r="E50" s="846">
        <v>60000</v>
      </c>
      <c r="F50" s="845">
        <v>60000</v>
      </c>
      <c r="G50" s="845">
        <v>60000</v>
      </c>
      <c r="H50" s="845">
        <v>60000</v>
      </c>
      <c r="I50" s="845">
        <f>60000</f>
        <v>60000</v>
      </c>
      <c r="J50" s="845"/>
      <c r="K50" s="1754">
        <f t="shared" si="32"/>
        <v>1</v>
      </c>
      <c r="L50" s="849">
        <f aca="true" t="shared" si="36" ref="L50:O51">E50</f>
        <v>60000</v>
      </c>
      <c r="M50" s="837">
        <f t="shared" si="36"/>
        <v>60000</v>
      </c>
      <c r="N50" s="837">
        <f t="shared" si="36"/>
        <v>60000</v>
      </c>
      <c r="O50" s="837">
        <f t="shared" si="36"/>
        <v>60000</v>
      </c>
      <c r="P50" s="885">
        <f>I50-W50</f>
        <v>60000</v>
      </c>
      <c r="Q50" s="837">
        <f>J50</f>
        <v>0</v>
      </c>
      <c r="R50" s="1754">
        <f>SUM(P50/O50)</f>
        <v>1</v>
      </c>
      <c r="S50" s="846">
        <v>0</v>
      </c>
      <c r="T50" s="845">
        <v>0</v>
      </c>
      <c r="U50" s="845">
        <v>0</v>
      </c>
      <c r="V50" s="845">
        <v>0</v>
      </c>
      <c r="W50" s="845">
        <v>0</v>
      </c>
      <c r="X50" s="845"/>
      <c r="Y50" s="669"/>
    </row>
    <row r="51" spans="1:25" s="902" customFormat="1" ht="21.75" customHeight="1" thickBot="1">
      <c r="A51" s="883"/>
      <c r="B51" s="65" t="s">
        <v>44</v>
      </c>
      <c r="C51" s="1821" t="s">
        <v>456</v>
      </c>
      <c r="D51" s="1821"/>
      <c r="E51" s="847">
        <v>300000</v>
      </c>
      <c r="F51" s="848">
        <v>300000</v>
      </c>
      <c r="G51" s="848">
        <v>300000</v>
      </c>
      <c r="H51" s="848">
        <v>300000</v>
      </c>
      <c r="I51" s="848">
        <v>300000</v>
      </c>
      <c r="J51" s="848"/>
      <c r="K51" s="1754">
        <f t="shared" si="32"/>
        <v>1</v>
      </c>
      <c r="L51" s="849">
        <f t="shared" si="36"/>
        <v>300000</v>
      </c>
      <c r="M51" s="837">
        <f t="shared" si="36"/>
        <v>300000</v>
      </c>
      <c r="N51" s="837">
        <f t="shared" si="36"/>
        <v>300000</v>
      </c>
      <c r="O51" s="837">
        <f t="shared" si="36"/>
        <v>300000</v>
      </c>
      <c r="P51" s="885">
        <f>I51-W51</f>
        <v>300000</v>
      </c>
      <c r="Q51" s="837">
        <f>J51</f>
        <v>0</v>
      </c>
      <c r="R51" s="1754">
        <f>SUM(P51/O51)</f>
        <v>1</v>
      </c>
      <c r="S51" s="847">
        <v>0</v>
      </c>
      <c r="T51" s="848">
        <v>0</v>
      </c>
      <c r="U51" s="848">
        <v>0</v>
      </c>
      <c r="V51" s="848">
        <v>0</v>
      </c>
      <c r="W51" s="848">
        <v>0</v>
      </c>
      <c r="X51" s="848"/>
      <c r="Y51" s="672"/>
    </row>
    <row r="52" spans="1:25" ht="21.75" customHeight="1" thickBot="1">
      <c r="A52" s="897" t="s">
        <v>12</v>
      </c>
      <c r="B52" s="1829" t="s">
        <v>313</v>
      </c>
      <c r="C52" s="1829"/>
      <c r="D52" s="1829"/>
      <c r="E52" s="311">
        <f aca="true" t="shared" si="37" ref="E52:J52">SUM(E53:E54)</f>
        <v>600000</v>
      </c>
      <c r="F52" s="250">
        <f>SUM(F53:F54)</f>
        <v>600000</v>
      </c>
      <c r="G52" s="250">
        <f>SUM(G53:G54)</f>
        <v>600000</v>
      </c>
      <c r="H52" s="250">
        <f>SUM(H53:H54)</f>
        <v>1264300</v>
      </c>
      <c r="I52" s="250">
        <f t="shared" si="37"/>
        <v>1264300</v>
      </c>
      <c r="J52" s="250">
        <f t="shared" si="37"/>
        <v>0</v>
      </c>
      <c r="K52" s="878">
        <f t="shared" si="32"/>
        <v>1</v>
      </c>
      <c r="L52" s="311">
        <f aca="true" t="shared" si="38" ref="L52:Q52">SUM(L53:L54)</f>
        <v>600000</v>
      </c>
      <c r="M52" s="250">
        <f t="shared" si="38"/>
        <v>600000</v>
      </c>
      <c r="N52" s="250">
        <f t="shared" si="38"/>
        <v>600000</v>
      </c>
      <c r="O52" s="250">
        <f t="shared" si="38"/>
        <v>1264300</v>
      </c>
      <c r="P52" s="250">
        <f t="shared" si="38"/>
        <v>1264300</v>
      </c>
      <c r="Q52" s="250">
        <f t="shared" si="38"/>
        <v>0</v>
      </c>
      <c r="R52" s="878">
        <f>SUM(P52/O52)</f>
        <v>1</v>
      </c>
      <c r="S52" s="311">
        <f aca="true" t="shared" si="39" ref="S52:X52">SUM(S53:S54)</f>
        <v>0</v>
      </c>
      <c r="T52" s="250">
        <f t="shared" si="39"/>
        <v>0</v>
      </c>
      <c r="U52" s="250">
        <f t="shared" si="39"/>
        <v>0</v>
      </c>
      <c r="V52" s="250">
        <f t="shared" si="39"/>
        <v>0</v>
      </c>
      <c r="W52" s="250">
        <f t="shared" si="39"/>
        <v>0</v>
      </c>
      <c r="X52" s="250">
        <f t="shared" si="39"/>
        <v>0</v>
      </c>
      <c r="Y52" s="670"/>
    </row>
    <row r="53" spans="1:25" s="877" customFormat="1" ht="21.75" customHeight="1">
      <c r="A53" s="903"/>
      <c r="B53" s="71" t="s">
        <v>45</v>
      </c>
      <c r="C53" s="1834" t="s">
        <v>315</v>
      </c>
      <c r="D53" s="1834"/>
      <c r="E53" s="849">
        <v>600000</v>
      </c>
      <c r="F53" s="837">
        <v>600000</v>
      </c>
      <c r="G53" s="837">
        <v>600000</v>
      </c>
      <c r="H53" s="837">
        <v>1264300</v>
      </c>
      <c r="I53" s="837">
        <v>1264300</v>
      </c>
      <c r="J53" s="837"/>
      <c r="K53" s="1754">
        <f t="shared" si="32"/>
        <v>1</v>
      </c>
      <c r="L53" s="849">
        <f>E53</f>
        <v>600000</v>
      </c>
      <c r="M53" s="837">
        <f>F53</f>
        <v>600000</v>
      </c>
      <c r="N53" s="837">
        <f>G53</f>
        <v>600000</v>
      </c>
      <c r="O53" s="837">
        <f>H53</f>
        <v>1264300</v>
      </c>
      <c r="P53" s="885">
        <f>I53-W53</f>
        <v>1264300</v>
      </c>
      <c r="Q53" s="837">
        <f>J53</f>
        <v>0</v>
      </c>
      <c r="R53" s="1754">
        <f>SUM(P53/O53)</f>
        <v>1</v>
      </c>
      <c r="S53" s="849">
        <v>0</v>
      </c>
      <c r="T53" s="837">
        <v>0</v>
      </c>
      <c r="U53" s="837">
        <v>0</v>
      </c>
      <c r="V53" s="837">
        <v>0</v>
      </c>
      <c r="W53" s="837">
        <v>0</v>
      </c>
      <c r="X53" s="837"/>
      <c r="Y53" s="675"/>
    </row>
    <row r="54" spans="1:25" ht="21.75" customHeight="1" thickBot="1">
      <c r="A54" s="896"/>
      <c r="B54" s="74" t="s">
        <v>314</v>
      </c>
      <c r="C54" s="1835" t="s">
        <v>316</v>
      </c>
      <c r="D54" s="1835"/>
      <c r="E54" s="850">
        <v>0</v>
      </c>
      <c r="F54" s="851">
        <v>0</v>
      </c>
      <c r="G54" s="851">
        <v>0</v>
      </c>
      <c r="H54" s="851">
        <v>0</v>
      </c>
      <c r="I54" s="851">
        <v>0</v>
      </c>
      <c r="J54" s="851">
        <v>0</v>
      </c>
      <c r="K54" s="852"/>
      <c r="L54" s="850">
        <v>0</v>
      </c>
      <c r="M54" s="851">
        <v>0</v>
      </c>
      <c r="N54" s="851">
        <v>0</v>
      </c>
      <c r="O54" s="851">
        <v>0</v>
      </c>
      <c r="P54" s="851">
        <v>0</v>
      </c>
      <c r="Q54" s="851">
        <v>0</v>
      </c>
      <c r="R54" s="1754"/>
      <c r="S54" s="850">
        <v>0</v>
      </c>
      <c r="T54" s="851">
        <v>0</v>
      </c>
      <c r="U54" s="851">
        <v>0</v>
      </c>
      <c r="V54" s="851">
        <v>0</v>
      </c>
      <c r="W54" s="851">
        <v>0</v>
      </c>
      <c r="X54" s="851"/>
      <c r="Y54" s="671"/>
    </row>
    <row r="55" spans="1:25" ht="21.75" customHeight="1" thickBot="1">
      <c r="A55" s="897" t="s">
        <v>13</v>
      </c>
      <c r="B55" s="1841" t="s">
        <v>75</v>
      </c>
      <c r="C55" s="1841"/>
      <c r="D55" s="1841"/>
      <c r="E55" s="311">
        <f aca="true" t="shared" si="40" ref="E55:J55">E7+E21+E41+E49+E52+E32</f>
        <v>587834866</v>
      </c>
      <c r="F55" s="250">
        <f>F7+F21+F41+F49+F52+F32</f>
        <v>574382539</v>
      </c>
      <c r="G55" s="250">
        <f>G7+G21+G41+G49+G52+G32</f>
        <v>596396017</v>
      </c>
      <c r="H55" s="250">
        <f>H7+H21+H41+H49+H52+H32</f>
        <v>639913239</v>
      </c>
      <c r="I55" s="250">
        <f t="shared" si="40"/>
        <v>632622258</v>
      </c>
      <c r="J55" s="250">
        <f t="shared" si="40"/>
        <v>0</v>
      </c>
      <c r="K55" s="878">
        <f>I55/H55</f>
        <v>0.9886062976109172</v>
      </c>
      <c r="L55" s="311">
        <f aca="true" t="shared" si="41" ref="L55:Q55">L7+L21+L41+L49+L52+L32</f>
        <v>568154898</v>
      </c>
      <c r="M55" s="250">
        <f t="shared" si="41"/>
        <v>546742792</v>
      </c>
      <c r="N55" s="250">
        <f t="shared" si="41"/>
        <v>568756270</v>
      </c>
      <c r="O55" s="250">
        <f t="shared" si="41"/>
        <v>616948087</v>
      </c>
      <c r="P55" s="250">
        <f t="shared" si="41"/>
        <v>609755889</v>
      </c>
      <c r="Q55" s="250">
        <f t="shared" si="41"/>
        <v>0</v>
      </c>
      <c r="R55" s="878">
        <f>SUM(P55/O55)</f>
        <v>0.988342296294372</v>
      </c>
      <c r="S55" s="311">
        <f aca="true" t="shared" si="42" ref="S55:X55">S7+S21+S41+S49+S52+S32</f>
        <v>19679968</v>
      </c>
      <c r="T55" s="250">
        <f t="shared" si="42"/>
        <v>27639747</v>
      </c>
      <c r="U55" s="250">
        <f t="shared" si="42"/>
        <v>27639747</v>
      </c>
      <c r="V55" s="250">
        <f t="shared" si="42"/>
        <v>22965152</v>
      </c>
      <c r="W55" s="250">
        <f t="shared" si="42"/>
        <v>22866369</v>
      </c>
      <c r="X55" s="250">
        <f t="shared" si="42"/>
        <v>0</v>
      </c>
      <c r="Y55" s="670">
        <f>W55/V55</f>
        <v>0.9956985697286045</v>
      </c>
    </row>
    <row r="56" spans="1:25" ht="24" customHeight="1" thickBot="1">
      <c r="A56" s="72" t="s">
        <v>56</v>
      </c>
      <c r="B56" s="1829" t="s">
        <v>317</v>
      </c>
      <c r="C56" s="1829"/>
      <c r="D56" s="1829"/>
      <c r="E56" s="311">
        <f aca="true" t="shared" si="43" ref="E56:J56">SUM(E57:E59)</f>
        <v>299915538</v>
      </c>
      <c r="F56" s="250">
        <f>SUM(F57:F59)</f>
        <v>299915538</v>
      </c>
      <c r="G56" s="250">
        <f>SUM(G57:G59)</f>
        <v>299915538</v>
      </c>
      <c r="H56" s="250">
        <f>SUM(H57:H59)</f>
        <v>313869065</v>
      </c>
      <c r="I56" s="250">
        <f t="shared" si="43"/>
        <v>313869065</v>
      </c>
      <c r="J56" s="250">
        <f t="shared" si="43"/>
        <v>0</v>
      </c>
      <c r="K56" s="878">
        <f>I56/H56</f>
        <v>1</v>
      </c>
      <c r="L56" s="311">
        <f aca="true" t="shared" si="44" ref="L56:Q56">SUM(L57:L59)</f>
        <v>284279744</v>
      </c>
      <c r="M56" s="250">
        <f t="shared" si="44"/>
        <v>284279744</v>
      </c>
      <c r="N56" s="250">
        <f t="shared" si="44"/>
        <v>284279744</v>
      </c>
      <c r="O56" s="250">
        <f t="shared" si="44"/>
        <v>298233271</v>
      </c>
      <c r="P56" s="250">
        <f t="shared" si="44"/>
        <v>298233271</v>
      </c>
      <c r="Q56" s="250">
        <f t="shared" si="44"/>
        <v>0</v>
      </c>
      <c r="R56" s="878">
        <f>SUM(P56/O56)</f>
        <v>1</v>
      </c>
      <c r="S56" s="311">
        <f aca="true" t="shared" si="45" ref="S56:X56">SUM(S57:S59)</f>
        <v>15635794</v>
      </c>
      <c r="T56" s="250">
        <f t="shared" si="45"/>
        <v>15635794</v>
      </c>
      <c r="U56" s="250">
        <f t="shared" si="45"/>
        <v>15635794</v>
      </c>
      <c r="V56" s="250">
        <f t="shared" si="45"/>
        <v>15635794</v>
      </c>
      <c r="W56" s="250">
        <f t="shared" si="45"/>
        <v>15635794</v>
      </c>
      <c r="X56" s="250">
        <f t="shared" si="45"/>
        <v>0</v>
      </c>
      <c r="Y56" s="670"/>
    </row>
    <row r="57" spans="1:25" ht="21.75" customHeight="1">
      <c r="A57" s="893"/>
      <c r="B57" s="71" t="s">
        <v>46</v>
      </c>
      <c r="C57" s="1834" t="s">
        <v>525</v>
      </c>
      <c r="D57" s="1834"/>
      <c r="E57" s="849"/>
      <c r="F57" s="837"/>
      <c r="G57" s="837"/>
      <c r="H57" s="848">
        <v>13999235</v>
      </c>
      <c r="I57" s="848">
        <v>13999235</v>
      </c>
      <c r="J57" s="837"/>
      <c r="K57" s="1754">
        <f>I57/H57</f>
        <v>1</v>
      </c>
      <c r="L57" s="849">
        <f aca="true" t="shared" si="46" ref="L57:O58">E57</f>
        <v>0</v>
      </c>
      <c r="M57" s="837">
        <f t="shared" si="46"/>
        <v>0</v>
      </c>
      <c r="N57" s="837">
        <f t="shared" si="46"/>
        <v>0</v>
      </c>
      <c r="O57" s="837">
        <f t="shared" si="46"/>
        <v>13999235</v>
      </c>
      <c r="P57" s="837">
        <v>13999235</v>
      </c>
      <c r="Q57" s="837">
        <f>J57</f>
        <v>0</v>
      </c>
      <c r="R57" s="1754">
        <f>SUM(P57/O57)</f>
        <v>1</v>
      </c>
      <c r="S57" s="849">
        <v>0</v>
      </c>
      <c r="T57" s="837">
        <v>0</v>
      </c>
      <c r="U57" s="837">
        <v>0</v>
      </c>
      <c r="V57" s="837">
        <v>0</v>
      </c>
      <c r="W57" s="837">
        <v>0</v>
      </c>
      <c r="X57" s="837"/>
      <c r="Y57" s="675"/>
    </row>
    <row r="58" spans="1:25" ht="21.75" customHeight="1">
      <c r="A58" s="883"/>
      <c r="B58" s="899" t="s">
        <v>47</v>
      </c>
      <c r="C58" s="1834" t="s">
        <v>497</v>
      </c>
      <c r="D58" s="1834"/>
      <c r="E58" s="847"/>
      <c r="F58" s="848"/>
      <c r="G58" s="848"/>
      <c r="H58" s="848"/>
      <c r="I58" s="848"/>
      <c r="J58" s="848"/>
      <c r="K58" s="1754"/>
      <c r="L58" s="849">
        <f t="shared" si="46"/>
        <v>0</v>
      </c>
      <c r="M58" s="837">
        <f t="shared" si="46"/>
        <v>0</v>
      </c>
      <c r="N58" s="837">
        <f t="shared" si="46"/>
        <v>0</v>
      </c>
      <c r="O58" s="837">
        <f t="shared" si="46"/>
        <v>0</v>
      </c>
      <c r="P58" s="885">
        <f>I58-W58</f>
        <v>0</v>
      </c>
      <c r="Q58" s="837">
        <f>J58</f>
        <v>0</v>
      </c>
      <c r="R58" s="1754"/>
      <c r="S58" s="847">
        <v>0</v>
      </c>
      <c r="T58" s="848">
        <v>0</v>
      </c>
      <c r="U58" s="848">
        <v>0</v>
      </c>
      <c r="V58" s="848">
        <v>0</v>
      </c>
      <c r="W58" s="848">
        <v>0</v>
      </c>
      <c r="X58" s="848"/>
      <c r="Y58" s="672"/>
    </row>
    <row r="59" spans="1:25" ht="21.75" customHeight="1" thickBot="1">
      <c r="A59" s="883"/>
      <c r="B59" s="899" t="s">
        <v>74</v>
      </c>
      <c r="C59" s="1834" t="s">
        <v>318</v>
      </c>
      <c r="D59" s="1834"/>
      <c r="E59" s="847">
        <v>299915538</v>
      </c>
      <c r="F59" s="848">
        <v>299915538</v>
      </c>
      <c r="G59" s="848">
        <v>299915538</v>
      </c>
      <c r="H59" s="848">
        <v>299869830</v>
      </c>
      <c r="I59" s="848">
        <v>299869830</v>
      </c>
      <c r="J59" s="848"/>
      <c r="K59" s="1754">
        <f>I59/H59</f>
        <v>1</v>
      </c>
      <c r="L59" s="849">
        <f>+E59-S59</f>
        <v>284279744</v>
      </c>
      <c r="M59" s="837">
        <f>+F59-T59</f>
        <v>284279744</v>
      </c>
      <c r="N59" s="837">
        <f>+G59-U59</f>
        <v>284279744</v>
      </c>
      <c r="O59" s="837">
        <f>+H59-V59</f>
        <v>284234036</v>
      </c>
      <c r="P59" s="885">
        <f>I59-W59</f>
        <v>284234036</v>
      </c>
      <c r="Q59" s="837">
        <f>J59</f>
        <v>0</v>
      </c>
      <c r="R59" s="1754">
        <f>SUM(P59/O59)</f>
        <v>1</v>
      </c>
      <c r="S59" s="847">
        <v>15635794</v>
      </c>
      <c r="T59" s="848">
        <v>15635794</v>
      </c>
      <c r="U59" s="848">
        <v>15635794</v>
      </c>
      <c r="V59" s="848">
        <v>15635794</v>
      </c>
      <c r="W59" s="848">
        <v>15635794</v>
      </c>
      <c r="X59" s="848"/>
      <c r="Y59" s="666">
        <f>W59/V59</f>
        <v>1</v>
      </c>
    </row>
    <row r="60" spans="1:25" ht="35.25" customHeight="1" thickBot="1">
      <c r="A60" s="897" t="s">
        <v>57</v>
      </c>
      <c r="B60" s="1903" t="s">
        <v>76</v>
      </c>
      <c r="C60" s="1903"/>
      <c r="D60" s="1903"/>
      <c r="E60" s="311">
        <f aca="true" t="shared" si="47" ref="E60:J60">E55+E56</f>
        <v>887750404</v>
      </c>
      <c r="F60" s="250">
        <f>F55+F56</f>
        <v>874298077</v>
      </c>
      <c r="G60" s="250">
        <f>G55+G56</f>
        <v>896311555</v>
      </c>
      <c r="H60" s="250">
        <f>H55+H56</f>
        <v>953782304</v>
      </c>
      <c r="I60" s="250">
        <f t="shared" si="47"/>
        <v>946491323</v>
      </c>
      <c r="J60" s="250">
        <f t="shared" si="47"/>
        <v>0</v>
      </c>
      <c r="K60" s="878">
        <f>I60/H60</f>
        <v>0.9923557178934618</v>
      </c>
      <c r="L60" s="311">
        <f aca="true" t="shared" si="48" ref="L60:Q60">L55+L56</f>
        <v>852434642</v>
      </c>
      <c r="M60" s="250">
        <f t="shared" si="48"/>
        <v>831022536</v>
      </c>
      <c r="N60" s="250">
        <f t="shared" si="48"/>
        <v>853036014</v>
      </c>
      <c r="O60" s="250">
        <f t="shared" si="48"/>
        <v>915181358</v>
      </c>
      <c r="P60" s="250">
        <f t="shared" si="48"/>
        <v>907989160</v>
      </c>
      <c r="Q60" s="250">
        <f t="shared" si="48"/>
        <v>0</v>
      </c>
      <c r="R60" s="878">
        <f>SUM(P60/O60)</f>
        <v>0.992141231967708</v>
      </c>
      <c r="S60" s="311">
        <f aca="true" t="shared" si="49" ref="S60:X60">S55+S56</f>
        <v>35315762</v>
      </c>
      <c r="T60" s="250">
        <f t="shared" si="49"/>
        <v>43275541</v>
      </c>
      <c r="U60" s="250">
        <f t="shared" si="49"/>
        <v>43275541</v>
      </c>
      <c r="V60" s="250">
        <f t="shared" si="49"/>
        <v>38600946</v>
      </c>
      <c r="W60" s="250">
        <f t="shared" si="49"/>
        <v>38502163</v>
      </c>
      <c r="X60" s="250">
        <f t="shared" si="49"/>
        <v>0</v>
      </c>
      <c r="Y60" s="670">
        <f>W60/V60</f>
        <v>0.9974409176396869</v>
      </c>
    </row>
    <row r="61" spans="1:25" ht="21.75" customHeight="1" hidden="1" thickBot="1">
      <c r="A61" s="1900" t="s">
        <v>232</v>
      </c>
      <c r="B61" s="1901"/>
      <c r="C61" s="1901"/>
      <c r="D61" s="1901"/>
      <c r="E61" s="904"/>
      <c r="F61" s="905"/>
      <c r="G61" s="905"/>
      <c r="H61" s="905"/>
      <c r="I61" s="905"/>
      <c r="J61" s="905"/>
      <c r="K61" s="878" t="e">
        <f>J61/I61</f>
        <v>#DIV/0!</v>
      </c>
      <c r="L61" s="904"/>
      <c r="M61" s="905"/>
      <c r="N61" s="905"/>
      <c r="O61" s="905"/>
      <c r="P61" s="905"/>
      <c r="Q61" s="905"/>
      <c r="R61" s="906"/>
      <c r="S61" s="904"/>
      <c r="T61" s="905"/>
      <c r="U61" s="905"/>
      <c r="V61" s="905"/>
      <c r="W61" s="905"/>
      <c r="X61" s="905"/>
      <c r="Y61" s="907" t="e">
        <f>W61/V61</f>
        <v>#DIV/0!</v>
      </c>
    </row>
    <row r="62" spans="1:25" ht="21.75" customHeight="1" thickBot="1">
      <c r="A62" s="1902" t="s">
        <v>6</v>
      </c>
      <c r="B62" s="1903"/>
      <c r="C62" s="1903"/>
      <c r="D62" s="1903"/>
      <c r="E62" s="908">
        <f aca="true" t="shared" si="50" ref="E62:J62">E60+E61</f>
        <v>887750404</v>
      </c>
      <c r="F62" s="909">
        <f>F60+F61</f>
        <v>874298077</v>
      </c>
      <c r="G62" s="909">
        <f>G60+G61</f>
        <v>896311555</v>
      </c>
      <c r="H62" s="1747">
        <f>H60+H61</f>
        <v>953782304</v>
      </c>
      <c r="I62" s="1732">
        <f t="shared" si="50"/>
        <v>946491323</v>
      </c>
      <c r="J62" s="909">
        <f t="shared" si="50"/>
        <v>0</v>
      </c>
      <c r="K62" s="878">
        <f>I62/H62</f>
        <v>0.9923557178934618</v>
      </c>
      <c r="L62" s="908">
        <f aca="true" t="shared" si="51" ref="L62:Q62">L60+L61</f>
        <v>852434642</v>
      </c>
      <c r="M62" s="909">
        <f t="shared" si="51"/>
        <v>831022536</v>
      </c>
      <c r="N62" s="909">
        <f t="shared" si="51"/>
        <v>853036014</v>
      </c>
      <c r="O62" s="1747">
        <f t="shared" si="51"/>
        <v>915181358</v>
      </c>
      <c r="P62" s="1751">
        <f t="shared" si="51"/>
        <v>907989160</v>
      </c>
      <c r="Q62" s="909">
        <f t="shared" si="51"/>
        <v>0</v>
      </c>
      <c r="R62" s="878">
        <f>SUM(P62/O62)</f>
        <v>0.992141231967708</v>
      </c>
      <c r="S62" s="908">
        <f aca="true" t="shared" si="52" ref="S62:X62">S60+S61</f>
        <v>35315762</v>
      </c>
      <c r="T62" s="909">
        <f t="shared" si="52"/>
        <v>43275541</v>
      </c>
      <c r="U62" s="909">
        <f t="shared" si="52"/>
        <v>43275541</v>
      </c>
      <c r="V62" s="1747">
        <f t="shared" si="52"/>
        <v>38600946</v>
      </c>
      <c r="W62" s="1751">
        <f t="shared" si="52"/>
        <v>38502163</v>
      </c>
      <c r="X62" s="909">
        <f t="shared" si="52"/>
        <v>0</v>
      </c>
      <c r="Y62" s="910">
        <f>W62/V62</f>
        <v>0.9974409176396869</v>
      </c>
    </row>
    <row r="63" spans="1:25" ht="21.75" customHeight="1" hidden="1">
      <c r="A63" s="911"/>
      <c r="B63" s="912"/>
      <c r="C63" s="912"/>
      <c r="D63" s="912"/>
      <c r="E63" s="913"/>
      <c r="F63" s="913"/>
      <c r="G63" s="914"/>
      <c r="H63" s="914">
        <f>SUM(O62+V62)</f>
        <v>953782304</v>
      </c>
      <c r="I63" s="914"/>
      <c r="J63" s="914"/>
      <c r="K63" s="913"/>
      <c r="L63" s="913"/>
      <c r="M63" s="913"/>
      <c r="N63" s="913"/>
      <c r="O63" s="914"/>
      <c r="P63" s="913"/>
      <c r="Q63" s="913"/>
      <c r="R63" s="913"/>
      <c r="S63" s="913"/>
      <c r="T63" s="913"/>
      <c r="U63" s="913"/>
      <c r="V63" s="913"/>
      <c r="W63" s="913"/>
      <c r="X63" s="913"/>
      <c r="Y63" s="913"/>
    </row>
    <row r="64" spans="1:22" ht="21.75" customHeight="1" hidden="1">
      <c r="A64" s="915"/>
      <c r="B64" s="916"/>
      <c r="C64" s="916"/>
      <c r="D64" s="916"/>
      <c r="E64" s="867"/>
      <c r="G64" s="902"/>
      <c r="H64" s="867"/>
      <c r="K64" s="867"/>
      <c r="L64" s="902"/>
      <c r="T64" s="867"/>
      <c r="U64" s="867"/>
      <c r="V64" s="867"/>
    </row>
    <row r="65" spans="1:22" ht="35.25" customHeight="1">
      <c r="A65" s="915"/>
      <c r="B65" s="916"/>
      <c r="C65" s="916"/>
      <c r="D65" s="916"/>
      <c r="E65" s="917" t="str">
        <f>IF(E62='4.sz.m.ÖNK kiadás'!E39," ","HIBA - eltérő összesen")</f>
        <v> </v>
      </c>
      <c r="F65" s="917" t="str">
        <f>IF(F62='4.sz.m.ÖNK kiadás'!F39," ","HIBA - eltérő összesen")</f>
        <v> </v>
      </c>
      <c r="G65" s="917"/>
      <c r="H65" s="917"/>
      <c r="I65" s="1752"/>
      <c r="J65" s="917"/>
      <c r="K65" s="867"/>
      <c r="M65" s="867"/>
      <c r="N65" s="867"/>
      <c r="P65" s="867"/>
      <c r="Q65" s="867"/>
      <c r="R65" s="867"/>
      <c r="T65" s="867"/>
      <c r="U65" s="867"/>
      <c r="V65" s="867"/>
    </row>
    <row r="66" spans="1:22" ht="35.25" customHeight="1">
      <c r="A66" s="915"/>
      <c r="B66" s="916"/>
      <c r="C66" s="916"/>
      <c r="D66" s="916"/>
      <c r="E66" s="918" t="str">
        <f>IF(L62+S62=E62," ","HIBA-nincs egyenlőség")</f>
        <v> </v>
      </c>
      <c r="F66" s="918" t="str">
        <f>IF(M62+T62=F62," ","HIBA-nincs egyenlőség")</f>
        <v> </v>
      </c>
      <c r="G66" s="918"/>
      <c r="H66" s="918"/>
      <c r="I66" s="918"/>
      <c r="J66" s="918"/>
      <c r="K66" s="918"/>
      <c r="L66" s="867"/>
      <c r="M66" s="867"/>
      <c r="N66" s="867"/>
      <c r="O66" s="867"/>
      <c r="P66" s="867"/>
      <c r="Q66" s="867"/>
      <c r="R66" s="867"/>
      <c r="T66" s="867"/>
      <c r="U66" s="867"/>
      <c r="V66" s="867"/>
    </row>
    <row r="67" spans="5:22" ht="12.75"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T67" s="867"/>
      <c r="U67" s="867"/>
      <c r="V67" s="867"/>
    </row>
    <row r="68" spans="5:22" ht="12.75">
      <c r="E68" s="867"/>
      <c r="F68" s="867"/>
      <c r="G68" s="867"/>
      <c r="H68" s="867"/>
      <c r="I68" s="867"/>
      <c r="J68" s="867"/>
      <c r="K68" s="867"/>
      <c r="L68" s="867"/>
      <c r="M68" s="867"/>
      <c r="N68" s="867"/>
      <c r="O68" s="867"/>
      <c r="P68" s="867"/>
      <c r="Q68" s="867"/>
      <c r="R68" s="867"/>
      <c r="T68" s="867"/>
      <c r="U68" s="867"/>
      <c r="V68" s="867"/>
    </row>
    <row r="69" spans="5:22" ht="12.75">
      <c r="E69" s="867"/>
      <c r="F69" s="867"/>
      <c r="G69" s="867"/>
      <c r="H69" s="867"/>
      <c r="I69" s="867"/>
      <c r="J69" s="867"/>
      <c r="K69" s="867"/>
      <c r="L69" s="867"/>
      <c r="M69" s="867"/>
      <c r="N69" s="867"/>
      <c r="O69" s="867"/>
      <c r="P69" s="867"/>
      <c r="Q69" s="867"/>
      <c r="R69" s="867"/>
      <c r="T69" s="867"/>
      <c r="U69" s="867"/>
      <c r="V69" s="867"/>
    </row>
    <row r="70" spans="4:22" ht="12.75">
      <c r="D70" s="921"/>
      <c r="E70" s="867"/>
      <c r="F70" s="867"/>
      <c r="G70" s="867"/>
      <c r="H70" s="867"/>
      <c r="I70" s="867"/>
      <c r="J70" s="867"/>
      <c r="K70" s="867"/>
      <c r="L70" s="867"/>
      <c r="M70" s="867"/>
      <c r="N70" s="867"/>
      <c r="O70" s="867"/>
      <c r="P70" s="867"/>
      <c r="Q70" s="867"/>
      <c r="R70" s="867"/>
      <c r="T70" s="867"/>
      <c r="U70" s="867"/>
      <c r="V70" s="867"/>
    </row>
    <row r="71" spans="4:22" ht="48.75" customHeight="1">
      <c r="D71" s="921"/>
      <c r="E71" s="867"/>
      <c r="F71" s="867"/>
      <c r="G71" s="867"/>
      <c r="H71" s="867"/>
      <c r="I71" s="867"/>
      <c r="J71" s="867"/>
      <c r="K71" s="867"/>
      <c r="L71" s="867"/>
      <c r="M71" s="867"/>
      <c r="N71" s="867"/>
      <c r="O71" s="867"/>
      <c r="P71" s="867"/>
      <c r="Q71" s="867"/>
      <c r="R71" s="867"/>
      <c r="T71" s="867"/>
      <c r="U71" s="867"/>
      <c r="V71" s="867"/>
    </row>
    <row r="72" spans="4:22" ht="46.5" customHeight="1">
      <c r="D72" s="921"/>
      <c r="E72" s="867"/>
      <c r="F72" s="867"/>
      <c r="G72" s="867"/>
      <c r="H72" s="867"/>
      <c r="I72" s="867"/>
      <c r="J72" s="867"/>
      <c r="K72" s="867"/>
      <c r="L72" s="867"/>
      <c r="M72" s="867"/>
      <c r="N72" s="867"/>
      <c r="O72" s="867"/>
      <c r="P72" s="867"/>
      <c r="Q72" s="867"/>
      <c r="R72" s="867"/>
      <c r="T72" s="867"/>
      <c r="U72" s="867"/>
      <c r="V72" s="867"/>
    </row>
    <row r="73" spans="5:22" ht="41.25" customHeight="1">
      <c r="E73" s="867"/>
      <c r="F73" s="867"/>
      <c r="G73" s="867"/>
      <c r="H73" s="867"/>
      <c r="I73" s="867"/>
      <c r="J73" s="867"/>
      <c r="K73" s="867"/>
      <c r="L73" s="867"/>
      <c r="M73" s="867"/>
      <c r="N73" s="867"/>
      <c r="O73" s="867"/>
      <c r="P73" s="867"/>
      <c r="Q73" s="867"/>
      <c r="R73" s="867"/>
      <c r="T73" s="867"/>
      <c r="U73" s="867"/>
      <c r="V73" s="867"/>
    </row>
    <row r="74" spans="5:22" ht="12.75">
      <c r="E74" s="867"/>
      <c r="F74" s="867"/>
      <c r="G74" s="867"/>
      <c r="H74" s="867"/>
      <c r="I74" s="867"/>
      <c r="J74" s="867"/>
      <c r="K74" s="867"/>
      <c r="L74" s="867"/>
      <c r="M74" s="867"/>
      <c r="N74" s="867"/>
      <c r="O74" s="867"/>
      <c r="P74" s="867"/>
      <c r="Q74" s="867"/>
      <c r="R74" s="867"/>
      <c r="T74" s="867"/>
      <c r="U74" s="867"/>
      <c r="V74" s="867"/>
    </row>
    <row r="75" spans="5:22" ht="12.75">
      <c r="E75" s="867"/>
      <c r="F75" s="867"/>
      <c r="G75" s="867"/>
      <c r="H75" s="867"/>
      <c r="I75" s="867"/>
      <c r="J75" s="867"/>
      <c r="K75" s="867"/>
      <c r="L75" s="867"/>
      <c r="M75" s="867"/>
      <c r="N75" s="867"/>
      <c r="O75" s="867"/>
      <c r="P75" s="867"/>
      <c r="Q75" s="867"/>
      <c r="R75" s="867"/>
      <c r="T75" s="867"/>
      <c r="U75" s="867"/>
      <c r="V75" s="867"/>
    </row>
    <row r="76" spans="5:22" ht="12.75">
      <c r="E76" s="867"/>
      <c r="F76" s="867"/>
      <c r="G76" s="867"/>
      <c r="H76" s="867"/>
      <c r="I76" s="867"/>
      <c r="J76" s="867"/>
      <c r="K76" s="867"/>
      <c r="L76" s="867"/>
      <c r="M76" s="867"/>
      <c r="N76" s="867"/>
      <c r="O76" s="867"/>
      <c r="P76" s="867"/>
      <c r="Q76" s="867"/>
      <c r="R76" s="867"/>
      <c r="T76" s="867"/>
      <c r="U76" s="867"/>
      <c r="V76" s="867"/>
    </row>
    <row r="77" spans="5:22" ht="12.75">
      <c r="E77" s="867"/>
      <c r="F77" s="867"/>
      <c r="G77" s="867"/>
      <c r="H77" s="867"/>
      <c r="I77" s="867"/>
      <c r="J77" s="867"/>
      <c r="K77" s="867"/>
      <c r="L77" s="867"/>
      <c r="M77" s="867"/>
      <c r="N77" s="867"/>
      <c r="O77" s="867"/>
      <c r="P77" s="867"/>
      <c r="Q77" s="867"/>
      <c r="R77" s="867"/>
      <c r="T77" s="867"/>
      <c r="U77" s="867"/>
      <c r="V77" s="867"/>
    </row>
    <row r="78" spans="5:22" ht="12.75">
      <c r="E78" s="867"/>
      <c r="F78" s="867"/>
      <c r="G78" s="867"/>
      <c r="H78" s="867"/>
      <c r="I78" s="867"/>
      <c r="J78" s="867"/>
      <c r="K78" s="867"/>
      <c r="L78" s="867"/>
      <c r="M78" s="867"/>
      <c r="N78" s="867"/>
      <c r="O78" s="867"/>
      <c r="P78" s="867"/>
      <c r="Q78" s="867"/>
      <c r="R78" s="867"/>
      <c r="T78" s="867"/>
      <c r="U78" s="867"/>
      <c r="V78" s="867"/>
    </row>
    <row r="79" spans="5:22" ht="12.75">
      <c r="E79" s="867"/>
      <c r="F79" s="867"/>
      <c r="G79" s="867"/>
      <c r="H79" s="867"/>
      <c r="I79" s="867"/>
      <c r="J79" s="867"/>
      <c r="K79" s="867"/>
      <c r="L79" s="867"/>
      <c r="M79" s="867"/>
      <c r="N79" s="867"/>
      <c r="O79" s="867"/>
      <c r="P79" s="867"/>
      <c r="Q79" s="867"/>
      <c r="R79" s="867"/>
      <c r="T79" s="867"/>
      <c r="U79" s="867"/>
      <c r="V79" s="867"/>
    </row>
    <row r="80" spans="5:22" ht="12.75">
      <c r="E80" s="867"/>
      <c r="F80" s="867"/>
      <c r="G80" s="867"/>
      <c r="H80" s="867"/>
      <c r="I80" s="867"/>
      <c r="J80" s="867"/>
      <c r="K80" s="867"/>
      <c r="L80" s="867"/>
      <c r="M80" s="867"/>
      <c r="N80" s="867"/>
      <c r="O80" s="867"/>
      <c r="P80" s="867"/>
      <c r="Q80" s="867"/>
      <c r="R80" s="867"/>
      <c r="T80" s="867"/>
      <c r="U80" s="867"/>
      <c r="V80" s="867"/>
    </row>
    <row r="81" spans="5:22" ht="12.75">
      <c r="E81" s="867"/>
      <c r="F81" s="867"/>
      <c r="G81" s="867"/>
      <c r="H81" s="867"/>
      <c r="I81" s="867"/>
      <c r="J81" s="867"/>
      <c r="K81" s="867"/>
      <c r="L81" s="867"/>
      <c r="M81" s="867"/>
      <c r="N81" s="867"/>
      <c r="O81" s="867"/>
      <c r="P81" s="867"/>
      <c r="Q81" s="867"/>
      <c r="R81" s="867"/>
      <c r="T81" s="867"/>
      <c r="U81" s="867"/>
      <c r="V81" s="867"/>
    </row>
    <row r="82" spans="5:22" ht="12.75">
      <c r="E82" s="867"/>
      <c r="F82" s="867"/>
      <c r="G82" s="867"/>
      <c r="H82" s="867"/>
      <c r="I82" s="867"/>
      <c r="J82" s="867"/>
      <c r="K82" s="867"/>
      <c r="L82" s="867"/>
      <c r="M82" s="867"/>
      <c r="N82" s="867"/>
      <c r="O82" s="867"/>
      <c r="P82" s="867"/>
      <c r="Q82" s="867"/>
      <c r="R82" s="867"/>
      <c r="T82" s="867"/>
      <c r="U82" s="867"/>
      <c r="V82" s="867"/>
    </row>
    <row r="83" spans="5:22" ht="12.75">
      <c r="E83" s="867"/>
      <c r="F83" s="867"/>
      <c r="G83" s="867"/>
      <c r="H83" s="867"/>
      <c r="I83" s="867"/>
      <c r="J83" s="867"/>
      <c r="K83" s="867"/>
      <c r="L83" s="867"/>
      <c r="M83" s="867"/>
      <c r="N83" s="867"/>
      <c r="O83" s="867"/>
      <c r="P83" s="867"/>
      <c r="Q83" s="867"/>
      <c r="R83" s="867"/>
      <c r="T83" s="867"/>
      <c r="U83" s="867"/>
      <c r="V83" s="867"/>
    </row>
    <row r="84" spans="5:22" ht="12.75">
      <c r="E84" s="867"/>
      <c r="F84" s="867"/>
      <c r="G84" s="867"/>
      <c r="H84" s="867"/>
      <c r="I84" s="867"/>
      <c r="J84" s="867"/>
      <c r="K84" s="867"/>
      <c r="L84" s="867"/>
      <c r="M84" s="867"/>
      <c r="N84" s="867"/>
      <c r="O84" s="867"/>
      <c r="P84" s="867"/>
      <c r="Q84" s="867"/>
      <c r="R84" s="867"/>
      <c r="T84" s="867"/>
      <c r="U84" s="867"/>
      <c r="V84" s="867"/>
    </row>
    <row r="85" spans="5:22" ht="12.75">
      <c r="E85" s="867"/>
      <c r="F85" s="867"/>
      <c r="G85" s="867"/>
      <c r="H85" s="867"/>
      <c r="I85" s="867"/>
      <c r="J85" s="867"/>
      <c r="K85" s="867"/>
      <c r="L85" s="867"/>
      <c r="M85" s="867"/>
      <c r="N85" s="867"/>
      <c r="O85" s="867"/>
      <c r="P85" s="867"/>
      <c r="Q85" s="867"/>
      <c r="R85" s="867"/>
      <c r="T85" s="867"/>
      <c r="U85" s="867"/>
      <c r="V85" s="867"/>
    </row>
    <row r="86" spans="5:22" ht="12.75">
      <c r="E86" s="867"/>
      <c r="F86" s="867"/>
      <c r="G86" s="867"/>
      <c r="H86" s="867"/>
      <c r="I86" s="867"/>
      <c r="J86" s="867"/>
      <c r="K86" s="867"/>
      <c r="L86" s="867"/>
      <c r="M86" s="867"/>
      <c r="N86" s="867"/>
      <c r="O86" s="867"/>
      <c r="P86" s="867"/>
      <c r="Q86" s="867"/>
      <c r="R86" s="867"/>
      <c r="T86" s="867"/>
      <c r="U86" s="867"/>
      <c r="V86" s="867"/>
    </row>
    <row r="87" spans="5:22" ht="12.75">
      <c r="E87" s="867"/>
      <c r="F87" s="867"/>
      <c r="G87" s="867"/>
      <c r="H87" s="867"/>
      <c r="I87" s="867"/>
      <c r="J87" s="867"/>
      <c r="K87" s="867"/>
      <c r="L87" s="867"/>
      <c r="M87" s="867"/>
      <c r="N87" s="867"/>
      <c r="O87" s="867"/>
      <c r="P87" s="867"/>
      <c r="Q87" s="867"/>
      <c r="R87" s="867"/>
      <c r="T87" s="867"/>
      <c r="U87" s="867"/>
      <c r="V87" s="867"/>
    </row>
    <row r="88" spans="5:22" ht="12.75">
      <c r="E88" s="867"/>
      <c r="F88" s="867"/>
      <c r="G88" s="867"/>
      <c r="H88" s="867"/>
      <c r="I88" s="867"/>
      <c r="J88" s="867"/>
      <c r="K88" s="867"/>
      <c r="L88" s="867"/>
      <c r="M88" s="867"/>
      <c r="N88" s="867"/>
      <c r="O88" s="867"/>
      <c r="P88" s="867"/>
      <c r="Q88" s="867"/>
      <c r="R88" s="867"/>
      <c r="T88" s="867"/>
      <c r="U88" s="867"/>
      <c r="V88" s="867"/>
    </row>
    <row r="89" spans="5:22" ht="12.75">
      <c r="E89" s="867"/>
      <c r="F89" s="867"/>
      <c r="G89" s="867"/>
      <c r="H89" s="867"/>
      <c r="I89" s="867"/>
      <c r="J89" s="867"/>
      <c r="K89" s="867"/>
      <c r="L89" s="867"/>
      <c r="M89" s="867"/>
      <c r="N89" s="867"/>
      <c r="O89" s="867"/>
      <c r="P89" s="867"/>
      <c r="Q89" s="867"/>
      <c r="R89" s="867"/>
      <c r="T89" s="867"/>
      <c r="U89" s="867"/>
      <c r="V89" s="867"/>
    </row>
    <row r="90" spans="5:22" ht="12.75">
      <c r="E90" s="867"/>
      <c r="F90" s="867"/>
      <c r="G90" s="867"/>
      <c r="H90" s="867"/>
      <c r="I90" s="867"/>
      <c r="J90" s="867"/>
      <c r="K90" s="867"/>
      <c r="L90" s="867"/>
      <c r="M90" s="867"/>
      <c r="N90" s="867"/>
      <c r="O90" s="867"/>
      <c r="P90" s="867"/>
      <c r="Q90" s="867"/>
      <c r="R90" s="867"/>
      <c r="T90" s="867"/>
      <c r="U90" s="867"/>
      <c r="V90" s="867"/>
    </row>
    <row r="91" spans="5:22" ht="12.75">
      <c r="E91" s="867"/>
      <c r="F91" s="867"/>
      <c r="G91" s="867"/>
      <c r="H91" s="867"/>
      <c r="I91" s="867"/>
      <c r="J91" s="867"/>
      <c r="K91" s="867"/>
      <c r="L91" s="867"/>
      <c r="M91" s="867"/>
      <c r="N91" s="867"/>
      <c r="O91" s="867"/>
      <c r="P91" s="867"/>
      <c r="Q91" s="867"/>
      <c r="R91" s="867"/>
      <c r="T91" s="867"/>
      <c r="U91" s="867"/>
      <c r="V91" s="867"/>
    </row>
    <row r="92" spans="5:22" ht="12.75">
      <c r="E92" s="867"/>
      <c r="F92" s="867"/>
      <c r="G92" s="867"/>
      <c r="H92" s="867"/>
      <c r="I92" s="867"/>
      <c r="J92" s="867"/>
      <c r="K92" s="867"/>
      <c r="L92" s="867"/>
      <c r="M92" s="867"/>
      <c r="N92" s="867"/>
      <c r="O92" s="867"/>
      <c r="P92" s="867"/>
      <c r="Q92" s="867"/>
      <c r="R92" s="867"/>
      <c r="T92" s="867"/>
      <c r="U92" s="867"/>
      <c r="V92" s="867"/>
    </row>
    <row r="93" spans="5:22" ht="12.75"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867"/>
      <c r="P93" s="867"/>
      <c r="Q93" s="867"/>
      <c r="R93" s="867"/>
      <c r="T93" s="867"/>
      <c r="U93" s="867"/>
      <c r="V93" s="867"/>
    </row>
    <row r="94" spans="5:22" ht="12.75">
      <c r="E94" s="867"/>
      <c r="F94" s="867"/>
      <c r="G94" s="867"/>
      <c r="H94" s="867"/>
      <c r="I94" s="867"/>
      <c r="J94" s="867"/>
      <c r="K94" s="867"/>
      <c r="L94" s="867"/>
      <c r="M94" s="867"/>
      <c r="N94" s="867"/>
      <c r="O94" s="867"/>
      <c r="P94" s="867"/>
      <c r="Q94" s="867"/>
      <c r="R94" s="867"/>
      <c r="T94" s="867"/>
      <c r="U94" s="867"/>
      <c r="V94" s="867"/>
    </row>
    <row r="95" spans="5:22" ht="12.75">
      <c r="E95" s="867"/>
      <c r="F95" s="867"/>
      <c r="G95" s="867"/>
      <c r="H95" s="867"/>
      <c r="I95" s="867"/>
      <c r="J95" s="867"/>
      <c r="K95" s="867"/>
      <c r="L95" s="867"/>
      <c r="M95" s="867"/>
      <c r="N95" s="867"/>
      <c r="O95" s="867"/>
      <c r="P95" s="867"/>
      <c r="Q95" s="867"/>
      <c r="R95" s="867"/>
      <c r="T95" s="867"/>
      <c r="U95" s="867"/>
      <c r="V95" s="867"/>
    </row>
    <row r="96" spans="5:22" ht="12.75">
      <c r="E96" s="867"/>
      <c r="F96" s="867"/>
      <c r="G96" s="867"/>
      <c r="H96" s="867"/>
      <c r="I96" s="867"/>
      <c r="J96" s="867"/>
      <c r="K96" s="867"/>
      <c r="L96" s="867"/>
      <c r="M96" s="867"/>
      <c r="N96" s="867"/>
      <c r="O96" s="867"/>
      <c r="P96" s="867"/>
      <c r="Q96" s="867"/>
      <c r="R96" s="867"/>
      <c r="T96" s="867"/>
      <c r="U96" s="867"/>
      <c r="V96" s="867"/>
    </row>
    <row r="97" spans="5:22" ht="12.75">
      <c r="E97" s="867"/>
      <c r="F97" s="867"/>
      <c r="G97" s="867"/>
      <c r="H97" s="867"/>
      <c r="I97" s="867"/>
      <c r="J97" s="867"/>
      <c r="K97" s="867"/>
      <c r="L97" s="867"/>
      <c r="M97" s="867"/>
      <c r="N97" s="867"/>
      <c r="O97" s="867"/>
      <c r="P97" s="867"/>
      <c r="Q97" s="867"/>
      <c r="R97" s="867"/>
      <c r="T97" s="867"/>
      <c r="U97" s="867"/>
      <c r="V97" s="867"/>
    </row>
    <row r="98" spans="5:22" ht="12.75">
      <c r="E98" s="867"/>
      <c r="F98" s="867"/>
      <c r="G98" s="867"/>
      <c r="H98" s="867"/>
      <c r="I98" s="867"/>
      <c r="J98" s="867"/>
      <c r="K98" s="867"/>
      <c r="L98" s="867"/>
      <c r="M98" s="867"/>
      <c r="N98" s="867"/>
      <c r="O98" s="867"/>
      <c r="P98" s="867"/>
      <c r="Q98" s="867"/>
      <c r="R98" s="867"/>
      <c r="T98" s="867"/>
      <c r="U98" s="867"/>
      <c r="V98" s="867"/>
    </row>
    <row r="99" spans="5:22" ht="12.75"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867"/>
      <c r="R99" s="867"/>
      <c r="T99" s="867"/>
      <c r="U99" s="867"/>
      <c r="V99" s="867"/>
    </row>
    <row r="100" spans="5:22" ht="12.75">
      <c r="E100" s="867"/>
      <c r="F100" s="867"/>
      <c r="G100" s="867"/>
      <c r="H100" s="867"/>
      <c r="I100" s="867"/>
      <c r="J100" s="867"/>
      <c r="K100" s="867"/>
      <c r="L100" s="867"/>
      <c r="M100" s="867"/>
      <c r="N100" s="867"/>
      <c r="O100" s="867"/>
      <c r="P100" s="867"/>
      <c r="Q100" s="867"/>
      <c r="R100" s="867"/>
      <c r="T100" s="867"/>
      <c r="U100" s="867"/>
      <c r="V100" s="867"/>
    </row>
    <row r="101" spans="5:22" ht="12.75">
      <c r="E101" s="867"/>
      <c r="F101" s="867"/>
      <c r="G101" s="867"/>
      <c r="H101" s="867"/>
      <c r="I101" s="867"/>
      <c r="J101" s="867"/>
      <c r="K101" s="867"/>
      <c r="L101" s="867"/>
      <c r="M101" s="867"/>
      <c r="N101" s="867"/>
      <c r="O101" s="867"/>
      <c r="P101" s="867"/>
      <c r="Q101" s="867"/>
      <c r="R101" s="867"/>
      <c r="T101" s="867"/>
      <c r="U101" s="867"/>
      <c r="V101" s="867"/>
    </row>
    <row r="102" spans="5:22" ht="12.75">
      <c r="E102" s="867"/>
      <c r="F102" s="867"/>
      <c r="G102" s="867"/>
      <c r="H102" s="867"/>
      <c r="I102" s="867"/>
      <c r="J102" s="867"/>
      <c r="K102" s="867"/>
      <c r="L102" s="867"/>
      <c r="M102" s="867"/>
      <c r="N102" s="867"/>
      <c r="O102" s="867"/>
      <c r="P102" s="867"/>
      <c r="Q102" s="867"/>
      <c r="R102" s="867"/>
      <c r="T102" s="867"/>
      <c r="U102" s="867"/>
      <c r="V102" s="867"/>
    </row>
    <row r="103" spans="5:22" ht="12.75">
      <c r="E103" s="867"/>
      <c r="F103" s="867"/>
      <c r="G103" s="867"/>
      <c r="H103" s="867"/>
      <c r="I103" s="867"/>
      <c r="J103" s="867"/>
      <c r="K103" s="867"/>
      <c r="L103" s="867"/>
      <c r="M103" s="867"/>
      <c r="N103" s="867"/>
      <c r="O103" s="867"/>
      <c r="P103" s="867"/>
      <c r="Q103" s="867"/>
      <c r="R103" s="867"/>
      <c r="T103" s="867"/>
      <c r="U103" s="867"/>
      <c r="V103" s="867"/>
    </row>
    <row r="104" spans="5:22" ht="12.75">
      <c r="E104" s="867"/>
      <c r="F104" s="867"/>
      <c r="G104" s="867"/>
      <c r="H104" s="867"/>
      <c r="I104" s="867"/>
      <c r="J104" s="867"/>
      <c r="K104" s="867"/>
      <c r="L104" s="867"/>
      <c r="M104" s="867"/>
      <c r="N104" s="867"/>
      <c r="O104" s="867"/>
      <c r="P104" s="867"/>
      <c r="Q104" s="867"/>
      <c r="R104" s="867"/>
      <c r="T104" s="867"/>
      <c r="U104" s="867"/>
      <c r="V104" s="867"/>
    </row>
    <row r="105" spans="5:22" ht="12.75">
      <c r="E105" s="867"/>
      <c r="F105" s="867"/>
      <c r="G105" s="867"/>
      <c r="H105" s="867"/>
      <c r="I105" s="867"/>
      <c r="J105" s="867"/>
      <c r="K105" s="867"/>
      <c r="L105" s="867"/>
      <c r="M105" s="867"/>
      <c r="N105" s="867"/>
      <c r="O105" s="867"/>
      <c r="P105" s="867"/>
      <c r="Q105" s="867"/>
      <c r="R105" s="867"/>
      <c r="T105" s="867"/>
      <c r="U105" s="867"/>
      <c r="V105" s="867"/>
    </row>
    <row r="106" spans="5:22" ht="12.75">
      <c r="E106" s="867"/>
      <c r="F106" s="867"/>
      <c r="G106" s="867"/>
      <c r="H106" s="867"/>
      <c r="I106" s="867"/>
      <c r="J106" s="867"/>
      <c r="K106" s="867"/>
      <c r="L106" s="867"/>
      <c r="M106" s="867"/>
      <c r="N106" s="867"/>
      <c r="O106" s="867"/>
      <c r="P106" s="867"/>
      <c r="Q106" s="867"/>
      <c r="R106" s="867"/>
      <c r="T106" s="867"/>
      <c r="U106" s="867"/>
      <c r="V106" s="867"/>
    </row>
    <row r="107" spans="5:22" ht="12.75">
      <c r="E107" s="867"/>
      <c r="F107" s="867"/>
      <c r="G107" s="867"/>
      <c r="H107" s="867"/>
      <c r="I107" s="867"/>
      <c r="J107" s="867"/>
      <c r="K107" s="867"/>
      <c r="L107" s="867"/>
      <c r="M107" s="867"/>
      <c r="N107" s="867"/>
      <c r="O107" s="867"/>
      <c r="P107" s="867"/>
      <c r="Q107" s="867"/>
      <c r="R107" s="867"/>
      <c r="T107" s="867"/>
      <c r="U107" s="867"/>
      <c r="V107" s="867"/>
    </row>
    <row r="108" spans="5:22" ht="12.75">
      <c r="E108" s="867"/>
      <c r="F108" s="867"/>
      <c r="G108" s="867"/>
      <c r="H108" s="867"/>
      <c r="I108" s="867"/>
      <c r="J108" s="867"/>
      <c r="K108" s="867"/>
      <c r="L108" s="867"/>
      <c r="M108" s="867"/>
      <c r="N108" s="867"/>
      <c r="O108" s="867"/>
      <c r="P108" s="867"/>
      <c r="Q108" s="867"/>
      <c r="R108" s="867"/>
      <c r="T108" s="867"/>
      <c r="U108" s="867"/>
      <c r="V108" s="867"/>
    </row>
    <row r="109" spans="5:22" ht="12.75">
      <c r="E109" s="867"/>
      <c r="F109" s="867"/>
      <c r="G109" s="867"/>
      <c r="H109" s="867"/>
      <c r="I109" s="867"/>
      <c r="J109" s="867"/>
      <c r="K109" s="867"/>
      <c r="L109" s="867"/>
      <c r="M109" s="867"/>
      <c r="N109" s="867"/>
      <c r="O109" s="867"/>
      <c r="P109" s="867"/>
      <c r="Q109" s="867"/>
      <c r="R109" s="867"/>
      <c r="T109" s="867"/>
      <c r="U109" s="867"/>
      <c r="V109" s="867"/>
    </row>
    <row r="110" spans="5:22" ht="12.75">
      <c r="E110" s="867"/>
      <c r="F110" s="867"/>
      <c r="G110" s="867"/>
      <c r="H110" s="867"/>
      <c r="I110" s="867"/>
      <c r="J110" s="867"/>
      <c r="K110" s="867"/>
      <c r="L110" s="867"/>
      <c r="M110" s="867"/>
      <c r="N110" s="867"/>
      <c r="O110" s="867"/>
      <c r="P110" s="867"/>
      <c r="Q110" s="867"/>
      <c r="R110" s="867"/>
      <c r="T110" s="867"/>
      <c r="U110" s="867"/>
      <c r="V110" s="867"/>
    </row>
    <row r="111" spans="5:22" ht="12.75">
      <c r="E111" s="867"/>
      <c r="F111" s="867"/>
      <c r="G111" s="867"/>
      <c r="H111" s="867"/>
      <c r="I111" s="867"/>
      <c r="J111" s="867"/>
      <c r="K111" s="867"/>
      <c r="L111" s="867"/>
      <c r="M111" s="867"/>
      <c r="N111" s="867"/>
      <c r="O111" s="867"/>
      <c r="P111" s="867"/>
      <c r="Q111" s="867"/>
      <c r="R111" s="867"/>
      <c r="T111" s="867"/>
      <c r="U111" s="867"/>
      <c r="V111" s="867"/>
    </row>
  </sheetData>
  <sheetProtection/>
  <mergeCells count="46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4:C4"/>
    <mergeCell ref="B6:D6"/>
    <mergeCell ref="B7:D7"/>
    <mergeCell ref="E4:K4"/>
    <mergeCell ref="L4:R4"/>
    <mergeCell ref="S4:Y4"/>
    <mergeCell ref="S1:W1"/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60"/>
  <sheetViews>
    <sheetView view="pageBreakPreview" zoomScale="60" zoomScaleNormal="70" zoomScalePageLayoutView="85" workbookViewId="0" topLeftCell="A1">
      <pane xSplit="4" ySplit="6" topLeftCell="H2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47" sqref="H47"/>
    </sheetView>
  </sheetViews>
  <sheetFormatPr defaultColWidth="9.140625" defaultRowHeight="12.75"/>
  <cols>
    <col min="1" max="1" width="5.8515625" style="84" customWidth="1"/>
    <col min="2" max="2" width="8.140625" style="91" customWidth="1"/>
    <col min="3" max="3" width="6.8515625" style="91" customWidth="1"/>
    <col min="4" max="4" width="50.140625" style="92" bestFit="1" customWidth="1"/>
    <col min="5" max="5" width="21.57421875" style="1" customWidth="1"/>
    <col min="6" max="6" width="18.421875" style="1" hidden="1" customWidth="1"/>
    <col min="7" max="7" width="17.00390625" style="1" hidden="1" customWidth="1"/>
    <col min="8" max="8" width="20.421875" style="1" customWidth="1"/>
    <col min="9" max="9" width="22.140625" style="1" customWidth="1"/>
    <col min="10" max="10" width="22.7109375" style="1" hidden="1" customWidth="1"/>
    <col min="11" max="11" width="15.57421875" style="1" customWidth="1"/>
    <col min="12" max="12" width="20.7109375" style="47" customWidth="1"/>
    <col min="13" max="13" width="16.421875" style="47" hidden="1" customWidth="1"/>
    <col min="14" max="14" width="18.28125" style="47" hidden="1" customWidth="1"/>
    <col min="15" max="15" width="15.7109375" style="47" customWidth="1"/>
    <col min="16" max="16" width="17.140625" style="47" hidden="1" customWidth="1"/>
    <col min="17" max="17" width="16.7109375" style="47" customWidth="1"/>
    <col min="18" max="18" width="12.28125" style="47" customWidth="1"/>
    <col min="19" max="19" width="18.7109375" style="47" customWidth="1"/>
    <col min="20" max="20" width="18.28125" style="47" hidden="1" customWidth="1"/>
    <col min="21" max="21" width="15.7109375" style="1" hidden="1" customWidth="1"/>
    <col min="22" max="22" width="17.7109375" style="1" customWidth="1"/>
    <col min="23" max="23" width="19.140625" style="1" customWidth="1"/>
    <col min="24" max="24" width="15.421875" style="1" hidden="1" customWidth="1"/>
    <col min="25" max="25" width="12.140625" style="1" customWidth="1"/>
    <col min="26" max="26" width="9.140625" style="1" hidden="1" customWidth="1"/>
    <col min="27" max="27" width="9.140625" style="1" customWidth="1"/>
    <col min="28" max="28" width="16.421875" style="1" customWidth="1"/>
    <col min="29" max="16384" width="9.140625" style="1" customWidth="1"/>
  </cols>
  <sheetData>
    <row r="1" spans="5:23" ht="15.75">
      <c r="E1" s="1904" t="s">
        <v>532</v>
      </c>
      <c r="F1" s="1904"/>
      <c r="G1" s="1904"/>
      <c r="H1" s="1904"/>
      <c r="I1" s="1904"/>
      <c r="J1" s="1904"/>
      <c r="K1" s="1904"/>
      <c r="L1" s="1904"/>
      <c r="M1" s="1904"/>
      <c r="N1" s="1904"/>
      <c r="O1" s="1904"/>
      <c r="P1" s="1904"/>
      <c r="Q1" s="1904"/>
      <c r="R1" s="1904"/>
      <c r="S1" s="1904"/>
      <c r="T1" s="1904"/>
      <c r="U1" s="1904"/>
      <c r="V1" s="1904"/>
      <c r="W1" s="1904"/>
    </row>
    <row r="2" spans="1:20" ht="37.5" customHeight="1">
      <c r="A2" s="1905" t="s">
        <v>588</v>
      </c>
      <c r="B2" s="1905"/>
      <c r="C2" s="1905"/>
      <c r="D2" s="1905"/>
      <c r="E2" s="1905"/>
      <c r="F2" s="1905"/>
      <c r="G2" s="1905"/>
      <c r="H2" s="1905"/>
      <c r="I2" s="1905"/>
      <c r="J2" s="1905"/>
      <c r="K2" s="1905"/>
      <c r="L2" s="1905"/>
      <c r="M2" s="1905"/>
      <c r="N2" s="1905"/>
      <c r="O2" s="1905"/>
      <c r="P2" s="1905"/>
      <c r="Q2" s="1905"/>
      <c r="R2" s="1905"/>
      <c r="S2" s="1905"/>
      <c r="T2" s="207"/>
    </row>
    <row r="3" spans="1:19" ht="14.25" customHeight="1" thickBot="1">
      <c r="A3" s="55"/>
      <c r="B3" s="83"/>
      <c r="C3" s="83"/>
      <c r="D3" s="93"/>
      <c r="S3" s="99" t="s">
        <v>445</v>
      </c>
    </row>
    <row r="4" spans="1:25" s="2" customFormat="1" ht="48.75" customHeight="1" thickBot="1">
      <c r="A4" s="1865" t="s">
        <v>3</v>
      </c>
      <c r="B4" s="1841"/>
      <c r="C4" s="1841"/>
      <c r="D4" s="1841"/>
      <c r="E4" s="385" t="s">
        <v>4</v>
      </c>
      <c r="F4" s="345"/>
      <c r="G4" s="345"/>
      <c r="H4" s="346"/>
      <c r="I4" s="1227"/>
      <c r="J4" s="805"/>
      <c r="K4" s="263"/>
      <c r="L4" s="385" t="s">
        <v>60</v>
      </c>
      <c r="M4" s="345"/>
      <c r="N4" s="345"/>
      <c r="O4" s="346"/>
      <c r="P4" s="1227"/>
      <c r="Q4" s="805"/>
      <c r="R4" s="263"/>
      <c r="S4" s="1866" t="s">
        <v>61</v>
      </c>
      <c r="T4" s="1867"/>
      <c r="U4" s="1867"/>
      <c r="V4" s="1867"/>
      <c r="W4" s="1867"/>
      <c r="X4" s="1867"/>
      <c r="Y4" s="1868"/>
    </row>
    <row r="5" spans="1:25" s="2" customFormat="1" ht="16.5" thickBot="1">
      <c r="A5" s="260"/>
      <c r="B5" s="258"/>
      <c r="C5" s="258"/>
      <c r="D5" s="258"/>
      <c r="E5" s="344" t="s">
        <v>64</v>
      </c>
      <c r="F5" s="345" t="s">
        <v>220</v>
      </c>
      <c r="G5" s="345" t="s">
        <v>223</v>
      </c>
      <c r="H5" s="346" t="s">
        <v>225</v>
      </c>
      <c r="I5" s="751" t="s">
        <v>228</v>
      </c>
      <c r="J5" s="751" t="s">
        <v>242</v>
      </c>
      <c r="K5" s="674" t="s">
        <v>229</v>
      </c>
      <c r="L5" s="344" t="s">
        <v>64</v>
      </c>
      <c r="M5" s="345" t="s">
        <v>220</v>
      </c>
      <c r="N5" s="345" t="s">
        <v>223</v>
      </c>
      <c r="O5" s="346" t="s">
        <v>225</v>
      </c>
      <c r="P5" s="1227" t="s">
        <v>237</v>
      </c>
      <c r="Q5" s="751" t="s">
        <v>228</v>
      </c>
      <c r="R5" s="674" t="s">
        <v>229</v>
      </c>
      <c r="S5" s="344" t="s">
        <v>64</v>
      </c>
      <c r="T5" s="345" t="s">
        <v>220</v>
      </c>
      <c r="U5" s="345" t="s">
        <v>223</v>
      </c>
      <c r="V5" s="345" t="s">
        <v>225</v>
      </c>
      <c r="W5" s="751" t="s">
        <v>228</v>
      </c>
      <c r="X5" s="751"/>
      <c r="Y5" s="819" t="s">
        <v>229</v>
      </c>
    </row>
    <row r="6" spans="1:28" s="46" customFormat="1" ht="22.5" customHeight="1" thickBot="1">
      <c r="A6" s="76" t="s">
        <v>26</v>
      </c>
      <c r="B6" s="1852" t="s">
        <v>77</v>
      </c>
      <c r="C6" s="1852"/>
      <c r="D6" s="1852"/>
      <c r="E6" s="311">
        <f aca="true" t="shared" si="0" ref="E6:J6">SUM(E7:E11)</f>
        <v>283397392</v>
      </c>
      <c r="F6" s="250">
        <f>SUM(F7:F11)</f>
        <v>291801250</v>
      </c>
      <c r="G6" s="250">
        <f>SUM(G7:G11)</f>
        <v>290353814</v>
      </c>
      <c r="H6" s="1731">
        <f>SUM(H7:H11)</f>
        <v>417162370</v>
      </c>
      <c r="I6" s="1228">
        <f t="shared" si="0"/>
        <v>265624644</v>
      </c>
      <c r="J6" s="734">
        <f t="shared" si="0"/>
        <v>0</v>
      </c>
      <c r="K6" s="653">
        <f aca="true" t="shared" si="1" ref="K6:K32">I6/H6</f>
        <v>0.6367416217335231</v>
      </c>
      <c r="L6" s="311">
        <f aca="true" t="shared" si="2" ref="L6:S6">SUM(L7:L11)</f>
        <v>251389020</v>
      </c>
      <c r="M6" s="250">
        <f>SUM(M7:M11)</f>
        <v>252182878</v>
      </c>
      <c r="N6" s="250">
        <f>SUM(N7:N11)</f>
        <v>250735442</v>
      </c>
      <c r="O6" s="734">
        <f>SUM(O7:O11)</f>
        <v>383103640</v>
      </c>
      <c r="P6" s="1155">
        <f t="shared" si="2"/>
        <v>0</v>
      </c>
      <c r="Q6" s="311">
        <f t="shared" si="2"/>
        <v>238032602</v>
      </c>
      <c r="R6" s="1749">
        <f>SUM(Q6/O6)</f>
        <v>0.6213269129993126</v>
      </c>
      <c r="S6" s="311">
        <f t="shared" si="2"/>
        <v>32008372</v>
      </c>
      <c r="T6" s="250">
        <f>SUM(T7:T11)</f>
        <v>39618372</v>
      </c>
      <c r="U6" s="250">
        <f aca="true" t="shared" si="3" ref="U6:Z6">SUM(U7:U11)</f>
        <v>39618372</v>
      </c>
      <c r="V6" s="250">
        <f>SUM(V7:V11)</f>
        <v>34058730</v>
      </c>
      <c r="W6" s="250">
        <f t="shared" si="3"/>
        <v>27592042</v>
      </c>
      <c r="X6" s="250">
        <f t="shared" si="3"/>
        <v>0</v>
      </c>
      <c r="Y6" s="1749">
        <f aca="true" t="shared" si="4" ref="Y6:Y14">SUM(W6/V6)</f>
        <v>0.8101312644364602</v>
      </c>
      <c r="Z6" s="1155">
        <f t="shared" si="3"/>
        <v>8.995241314904003</v>
      </c>
      <c r="AB6" s="864"/>
    </row>
    <row r="7" spans="1:28" s="5" customFormat="1" ht="22.5" customHeight="1" thickBot="1">
      <c r="A7" s="75"/>
      <c r="B7" s="80" t="s">
        <v>35</v>
      </c>
      <c r="C7" s="80"/>
      <c r="D7" s="302" t="s">
        <v>0</v>
      </c>
      <c r="E7" s="347">
        <v>48707643</v>
      </c>
      <c r="F7" s="1173">
        <v>48707643</v>
      </c>
      <c r="G7" s="1173">
        <v>49868488</v>
      </c>
      <c r="H7" s="806">
        <v>47278937</v>
      </c>
      <c r="I7" s="1229">
        <v>45181533</v>
      </c>
      <c r="J7" s="735"/>
      <c r="K7" s="653">
        <f t="shared" si="1"/>
        <v>0.955637665880686</v>
      </c>
      <c r="L7" s="312">
        <f aca="true" t="shared" si="5" ref="L7:O8">E7-S7</f>
        <v>45737643</v>
      </c>
      <c r="M7" s="252">
        <f t="shared" si="5"/>
        <v>45737643</v>
      </c>
      <c r="N7" s="252">
        <f t="shared" si="5"/>
        <v>46898488</v>
      </c>
      <c r="O7" s="735">
        <f t="shared" si="5"/>
        <v>44638937</v>
      </c>
      <c r="P7" s="1167"/>
      <c r="Q7" s="312">
        <f>SUM(I7-W7)</f>
        <v>42541533</v>
      </c>
      <c r="R7" s="1748">
        <f>SUM(Q7/O7)</f>
        <v>0.9530140245051086</v>
      </c>
      <c r="S7" s="312">
        <v>2970000</v>
      </c>
      <c r="T7" s="252">
        <v>2970000</v>
      </c>
      <c r="U7" s="252">
        <v>2970000</v>
      </c>
      <c r="V7" s="252">
        <v>2640000</v>
      </c>
      <c r="W7" s="252">
        <v>2640000</v>
      </c>
      <c r="X7" s="252">
        <v>0</v>
      </c>
      <c r="Y7" s="1748">
        <f>SUM(W7/V7)</f>
        <v>1</v>
      </c>
      <c r="Z7" s="1167">
        <v>0</v>
      </c>
      <c r="AB7" s="864"/>
    </row>
    <row r="8" spans="1:28" s="5" customFormat="1" ht="22.5" customHeight="1" thickBot="1">
      <c r="A8" s="58"/>
      <c r="B8" s="67" t="s">
        <v>36</v>
      </c>
      <c r="C8" s="67"/>
      <c r="D8" s="303" t="s">
        <v>78</v>
      </c>
      <c r="E8" s="347">
        <v>8214106</v>
      </c>
      <c r="F8" s="1173">
        <v>8214106</v>
      </c>
      <c r="G8" s="1173">
        <v>8389106</v>
      </c>
      <c r="H8" s="806">
        <v>8011711</v>
      </c>
      <c r="I8" s="1229">
        <v>6570054</v>
      </c>
      <c r="J8" s="806"/>
      <c r="K8" s="653">
        <f t="shared" si="1"/>
        <v>0.8200562900983323</v>
      </c>
      <c r="L8" s="312">
        <f t="shared" si="5"/>
        <v>7694356</v>
      </c>
      <c r="M8" s="252">
        <f t="shared" si="5"/>
        <v>7694356</v>
      </c>
      <c r="N8" s="252">
        <f t="shared" si="5"/>
        <v>7869356</v>
      </c>
      <c r="O8" s="735">
        <f t="shared" si="5"/>
        <v>7569658</v>
      </c>
      <c r="P8" s="1167"/>
      <c r="Q8" s="312">
        <f>SUM(I8-W8)</f>
        <v>6128001</v>
      </c>
      <c r="R8" s="1748">
        <f>SUM(Q8/O8)</f>
        <v>0.8095479346623058</v>
      </c>
      <c r="S8" s="347">
        <v>519750</v>
      </c>
      <c r="T8" s="1173">
        <v>519750</v>
      </c>
      <c r="U8" s="1173">
        <v>519750</v>
      </c>
      <c r="V8" s="1173">
        <v>442053</v>
      </c>
      <c r="W8" s="1173">
        <v>442053</v>
      </c>
      <c r="X8" s="1173">
        <v>0</v>
      </c>
      <c r="Y8" s="1748">
        <f t="shared" si="4"/>
        <v>1</v>
      </c>
      <c r="Z8" s="1170">
        <v>0</v>
      </c>
      <c r="AB8" s="864"/>
    </row>
    <row r="9" spans="1:28" s="1743" customFormat="1" ht="22.5" customHeight="1" thickBot="1">
      <c r="A9" s="1735"/>
      <c r="B9" s="1736" t="s">
        <v>37</v>
      </c>
      <c r="C9" s="1736"/>
      <c r="D9" s="1737" t="s">
        <v>79</v>
      </c>
      <c r="E9" s="1738">
        <v>72685991</v>
      </c>
      <c r="F9" s="1739">
        <v>73355791</v>
      </c>
      <c r="G9" s="1739">
        <v>73546030</v>
      </c>
      <c r="H9" s="1740">
        <v>202930067</v>
      </c>
      <c r="I9" s="1741">
        <v>55819402</v>
      </c>
      <c r="J9" s="1740"/>
      <c r="K9" s="653">
        <f t="shared" si="1"/>
        <v>0.2750671836125693</v>
      </c>
      <c r="L9" s="1738">
        <f>'7.sz.m.Dologi kiadás (3)'!K42</f>
        <v>51116812</v>
      </c>
      <c r="M9" s="1739">
        <f>'7.sz.m.Dologi kiadás (3)'!L42</f>
        <v>51786612</v>
      </c>
      <c r="N9" s="1739">
        <f>'7.sz.m.Dologi kiadás (3)'!M42</f>
        <v>51976851</v>
      </c>
      <c r="O9" s="1740">
        <f>'7.sz.m.Dologi kiadás (3)'!N42</f>
        <v>184794205</v>
      </c>
      <c r="P9" s="1742">
        <f>'7.sz.m.Dologi kiadás (3)'!O42</f>
        <v>0</v>
      </c>
      <c r="Q9" s="1738">
        <f>'7.sz.m.Dologi kiadás (3)'!P42</f>
        <v>44090228</v>
      </c>
      <c r="R9" s="1748">
        <f aca="true" t="shared" si="6" ref="R9:R14">SUM(Q9/O9)</f>
        <v>0.23859096663772547</v>
      </c>
      <c r="S9" s="1738">
        <f>'7.sz.m.Dologi kiadás (3)'!R42</f>
        <v>21569179</v>
      </c>
      <c r="T9" s="1739">
        <f>'7.sz.m.Dologi kiadás (3)'!S42</f>
        <v>21569179</v>
      </c>
      <c r="U9" s="1739">
        <f>'7.sz.m.Dologi kiadás (3)'!T42</f>
        <v>21569179</v>
      </c>
      <c r="V9" s="1739">
        <f>'7.sz.m.Dologi kiadás (3)'!U42</f>
        <v>18135862</v>
      </c>
      <c r="W9" s="1739">
        <f>'7.sz.m.Dologi kiadás (3)'!W42</f>
        <v>11729174</v>
      </c>
      <c r="X9" s="1739"/>
      <c r="Y9" s="1748">
        <f t="shared" si="4"/>
        <v>0.6467392616904561</v>
      </c>
      <c r="Z9" s="1742">
        <f>'7.sz.m.Dologi kiadás (3)'!Y42</f>
        <v>0</v>
      </c>
      <c r="AB9" s="1744"/>
    </row>
    <row r="10" spans="1:28" s="1743" customFormat="1" ht="22.5" customHeight="1" thickBot="1">
      <c r="A10" s="1735"/>
      <c r="B10" s="1736" t="s">
        <v>48</v>
      </c>
      <c r="C10" s="1736"/>
      <c r="D10" s="1737" t="s">
        <v>80</v>
      </c>
      <c r="E10" s="1738">
        <v>2250000</v>
      </c>
      <c r="F10" s="1739">
        <v>2250000</v>
      </c>
      <c r="G10" s="1739">
        <v>2250000</v>
      </c>
      <c r="H10" s="1740">
        <v>2282000</v>
      </c>
      <c r="I10" s="1741">
        <v>1454000</v>
      </c>
      <c r="J10" s="1740"/>
      <c r="K10" s="653">
        <f t="shared" si="1"/>
        <v>0.6371603856266433</v>
      </c>
      <c r="L10" s="1738">
        <f>SUM('8.sz.m.szociális kiadások (2)'!C10:C15)</f>
        <v>2250000</v>
      </c>
      <c r="M10" s="1739">
        <f>SUM('8.sz.m.szociális kiadások (2)'!D10:D15)</f>
        <v>2250000</v>
      </c>
      <c r="N10" s="1739">
        <f>SUM('8.sz.m.szociális kiadások (2)'!E10:E15)</f>
        <v>2250000</v>
      </c>
      <c r="O10" s="1740">
        <f>SUM('8.sz.m.szociális kiadások (2)'!F10:F15)</f>
        <v>2282000</v>
      </c>
      <c r="P10" s="1742">
        <f>'8.sz.m.szociális kiadások (2)'!G16+'8.sz.m.szociális kiadások (2)'!G18</f>
        <v>0</v>
      </c>
      <c r="Q10" s="1738">
        <v>1454000</v>
      </c>
      <c r="R10" s="1748">
        <f t="shared" si="6"/>
        <v>0.6371603856266433</v>
      </c>
      <c r="S10" s="1738"/>
      <c r="T10" s="1739"/>
      <c r="U10" s="1739"/>
      <c r="V10" s="1739"/>
      <c r="W10" s="1739"/>
      <c r="X10" s="1739"/>
      <c r="Y10" s="1740"/>
      <c r="Z10" s="1742">
        <f>SUM('8.sz.m.szociális kiadások (2)'!J10:J15)</f>
        <v>0</v>
      </c>
      <c r="AB10" s="1744"/>
    </row>
    <row r="11" spans="1:28" s="5" customFormat="1" ht="22.5" customHeight="1" thickBot="1">
      <c r="A11" s="58"/>
      <c r="B11" s="67" t="s">
        <v>49</v>
      </c>
      <c r="C11" s="67"/>
      <c r="D11" s="304" t="s">
        <v>82</v>
      </c>
      <c r="E11" s="347">
        <f aca="true" t="shared" si="7" ref="E11:J11">SUM(E12:E16)</f>
        <v>151539652</v>
      </c>
      <c r="F11" s="1173">
        <f>SUM(F12:F16)</f>
        <v>159273710</v>
      </c>
      <c r="G11" s="1173">
        <f>SUM(G12:G16)</f>
        <v>156300190</v>
      </c>
      <c r="H11" s="806">
        <f>SUM(H12:H16)</f>
        <v>156659655</v>
      </c>
      <c r="I11" s="1229">
        <f t="shared" si="7"/>
        <v>156599655</v>
      </c>
      <c r="J11" s="806">
        <f t="shared" si="7"/>
        <v>0</v>
      </c>
      <c r="K11" s="653">
        <f t="shared" si="1"/>
        <v>0.9996170041354936</v>
      </c>
      <c r="L11" s="347">
        <f>E11-S11</f>
        <v>144590209</v>
      </c>
      <c r="M11" s="1173">
        <f>F11-T11</f>
        <v>144714267</v>
      </c>
      <c r="N11" s="1173">
        <f>G11-U11</f>
        <v>141740747</v>
      </c>
      <c r="O11" s="806">
        <f>H11-V11</f>
        <v>143818840</v>
      </c>
      <c r="P11" s="1170"/>
      <c r="Q11" s="1739">
        <f>SUM(Q12:Q16)</f>
        <v>143818840</v>
      </c>
      <c r="R11" s="1748">
        <f t="shared" si="6"/>
        <v>1</v>
      </c>
      <c r="S11" s="347">
        <f aca="true" t="shared" si="8" ref="S11:X11">SUM(S12:S16)</f>
        <v>6949443</v>
      </c>
      <c r="T11" s="1173">
        <f t="shared" si="8"/>
        <v>14559443</v>
      </c>
      <c r="U11" s="1173">
        <f t="shared" si="8"/>
        <v>14559443</v>
      </c>
      <c r="V11" s="1173">
        <f t="shared" si="8"/>
        <v>12840815</v>
      </c>
      <c r="W11" s="1739">
        <f t="shared" si="8"/>
        <v>12780815</v>
      </c>
      <c r="X11" s="1173">
        <f t="shared" si="8"/>
        <v>0</v>
      </c>
      <c r="Y11" s="1748">
        <f t="shared" si="4"/>
        <v>0.9953273993901477</v>
      </c>
      <c r="Z11" s="1170">
        <f>SUM(Z12:Z16)</f>
        <v>8.995241314904003</v>
      </c>
      <c r="AB11" s="864"/>
    </row>
    <row r="12" spans="1:28" s="5" customFormat="1" ht="22.5" customHeight="1" thickBot="1">
      <c r="A12" s="58"/>
      <c r="B12" s="90"/>
      <c r="C12" s="67" t="s">
        <v>81</v>
      </c>
      <c r="D12" s="305" t="s">
        <v>266</v>
      </c>
      <c r="E12" s="307"/>
      <c r="F12" s="1246">
        <v>124058</v>
      </c>
      <c r="G12" s="1246">
        <v>124058</v>
      </c>
      <c r="H12" s="807">
        <v>124058</v>
      </c>
      <c r="I12" s="1230">
        <v>124058</v>
      </c>
      <c r="J12" s="807"/>
      <c r="K12" s="653">
        <f t="shared" si="1"/>
        <v>1</v>
      </c>
      <c r="L12" s="312">
        <f>E12</f>
        <v>0</v>
      </c>
      <c r="M12" s="252">
        <f>F12</f>
        <v>124058</v>
      </c>
      <c r="N12" s="252">
        <f>G12</f>
        <v>124058</v>
      </c>
      <c r="O12" s="735">
        <f>H12</f>
        <v>124058</v>
      </c>
      <c r="P12" s="1167"/>
      <c r="Q12" s="312">
        <v>124058</v>
      </c>
      <c r="R12" s="1748">
        <f t="shared" si="6"/>
        <v>1</v>
      </c>
      <c r="S12" s="307">
        <v>0</v>
      </c>
      <c r="T12" s="1246">
        <v>0</v>
      </c>
      <c r="U12" s="1246">
        <v>0</v>
      </c>
      <c r="V12" s="1246">
        <v>0</v>
      </c>
      <c r="W12" s="1246"/>
      <c r="X12" s="1246">
        <v>0</v>
      </c>
      <c r="Y12" s="807"/>
      <c r="Z12" s="1242">
        <v>7</v>
      </c>
      <c r="AB12" s="864"/>
    </row>
    <row r="13" spans="1:28" s="5" customFormat="1" ht="31.5" customHeight="1" thickBot="1">
      <c r="A13" s="58"/>
      <c r="B13" s="67"/>
      <c r="C13" s="67" t="s">
        <v>83</v>
      </c>
      <c r="D13" s="303" t="s">
        <v>267</v>
      </c>
      <c r="E13" s="307">
        <v>5574495</v>
      </c>
      <c r="F13" s="1246">
        <v>13184495</v>
      </c>
      <c r="G13" s="1246">
        <v>13184495</v>
      </c>
      <c r="H13" s="807">
        <v>12608525</v>
      </c>
      <c r="I13" s="1230">
        <v>12548525</v>
      </c>
      <c r="J13" s="807"/>
      <c r="K13" s="653">
        <f t="shared" si="1"/>
        <v>0.9952413149040035</v>
      </c>
      <c r="L13" s="307">
        <f>'9.sz.m.átadott pe (3)'!B63</f>
        <v>0</v>
      </c>
      <c r="M13" s="1246">
        <f>'9.sz.m.átadott pe (3)'!C63</f>
        <v>0</v>
      </c>
      <c r="N13" s="1246">
        <f>'9.sz.m.átadott pe (3)'!D63</f>
        <v>0</v>
      </c>
      <c r="O13" s="807">
        <f>'9.sz.m.átadott pe (3)'!E63</f>
        <v>0</v>
      </c>
      <c r="P13" s="1242">
        <f>'9.sz.m.átadott pe (3)'!F63</f>
        <v>0</v>
      </c>
      <c r="Q13" s="307">
        <f>'9.sz.m.átadott pe (3)'!G63</f>
        <v>0</v>
      </c>
      <c r="R13" s="307">
        <f>'9.sz.m.átadott pe (3)'!H63</f>
        <v>0</v>
      </c>
      <c r="S13" s="307">
        <f>'9.sz.m.átadott pe (3)'!I63</f>
        <v>5574495</v>
      </c>
      <c r="T13" s="1246">
        <f>'9.sz.m.átadott pe (3)'!J63</f>
        <v>13184495</v>
      </c>
      <c r="U13" s="1246">
        <f>'9.sz.m.átadott pe (3)'!K63</f>
        <v>13184495</v>
      </c>
      <c r="V13" s="1246">
        <f>'9.sz.m.átadott pe (3)'!L63</f>
        <v>12608525</v>
      </c>
      <c r="W13" s="1739">
        <f>'9.sz.m.átadott pe (3)'!M63</f>
        <v>12548525</v>
      </c>
      <c r="X13" s="1246">
        <f>'9.sz.m.átadott pe (3)'!N63</f>
        <v>0</v>
      </c>
      <c r="Y13" s="1748">
        <f t="shared" si="4"/>
        <v>0.9952413149040035</v>
      </c>
      <c r="Z13" s="1242">
        <f>'9.sz.m.átadott pe (3)'!P63</f>
        <v>0.9952413149040035</v>
      </c>
      <c r="AB13" s="864"/>
    </row>
    <row r="14" spans="1:28" s="5" customFormat="1" ht="36.75" customHeight="1" thickBot="1">
      <c r="A14" s="86"/>
      <c r="B14" s="87"/>
      <c r="C14" s="67" t="s">
        <v>84</v>
      </c>
      <c r="D14" s="303" t="s">
        <v>268</v>
      </c>
      <c r="E14" s="307">
        <v>145965157</v>
      </c>
      <c r="F14" s="1246">
        <v>145965157</v>
      </c>
      <c r="G14" s="1246">
        <v>142991637</v>
      </c>
      <c r="H14" s="807">
        <v>143927072</v>
      </c>
      <c r="I14" s="1230">
        <v>143927072</v>
      </c>
      <c r="J14" s="807"/>
      <c r="K14" s="653">
        <f t="shared" si="1"/>
        <v>1</v>
      </c>
      <c r="L14" s="307">
        <f>'9.sz.m.átadott pe (3)'!B91</f>
        <v>144590209</v>
      </c>
      <c r="M14" s="1246">
        <f>'9.sz.m.átadott pe (3)'!C91</f>
        <v>144590209</v>
      </c>
      <c r="N14" s="1246">
        <f>'9.sz.m.átadott pe (3)'!D91</f>
        <v>141616689</v>
      </c>
      <c r="O14" s="807">
        <f>'9.sz.m.átadott pe (3)'!E91</f>
        <v>143694782</v>
      </c>
      <c r="P14" s="1242">
        <f>'9.sz.m.átadott pe (3)'!F91</f>
        <v>0</v>
      </c>
      <c r="Q14" s="307">
        <f>'9.sz.m.átadott pe (3)'!G91</f>
        <v>143694782</v>
      </c>
      <c r="R14" s="1748">
        <f t="shared" si="6"/>
        <v>1</v>
      </c>
      <c r="S14" s="307">
        <f>'9.sz.m.átadott pe (3)'!I91</f>
        <v>1374948</v>
      </c>
      <c r="T14" s="1246">
        <f>'9.sz.m.átadott pe (3)'!J91</f>
        <v>1374948</v>
      </c>
      <c r="U14" s="1246">
        <f>'9.sz.m.átadott pe (3)'!K91</f>
        <v>1374948</v>
      </c>
      <c r="V14" s="1246">
        <f>'9.sz.m.átadott pe (3)'!L91</f>
        <v>232290</v>
      </c>
      <c r="W14" s="1739">
        <f>'9.sz.m.átadott pe (3)'!M91</f>
        <v>232290</v>
      </c>
      <c r="X14" s="1246">
        <f>'9.sz.m.átadott pe (3)'!N91</f>
        <v>0</v>
      </c>
      <c r="Y14" s="1748">
        <f t="shared" si="4"/>
        <v>1</v>
      </c>
      <c r="Z14" s="1242">
        <f>'9.sz.m.átadott pe (3)'!P91</f>
        <v>1</v>
      </c>
      <c r="AB14" s="864"/>
    </row>
    <row r="15" spans="1:28" s="5" customFormat="1" ht="22.5" customHeight="1" hidden="1">
      <c r="A15" s="58"/>
      <c r="B15" s="67"/>
      <c r="C15" s="67" t="s">
        <v>87</v>
      </c>
      <c r="D15" s="303" t="s">
        <v>89</v>
      </c>
      <c r="E15" s="347"/>
      <c r="F15" s="1173"/>
      <c r="G15" s="1173"/>
      <c r="H15" s="806"/>
      <c r="I15" s="1229"/>
      <c r="J15" s="806"/>
      <c r="K15" s="653" t="e">
        <f t="shared" si="1"/>
        <v>#DIV/0!</v>
      </c>
      <c r="L15" s="347"/>
      <c r="M15" s="1173"/>
      <c r="N15" s="1173"/>
      <c r="O15" s="806"/>
      <c r="P15" s="1170"/>
      <c r="Q15" s="347"/>
      <c r="R15" s="347"/>
      <c r="S15" s="347"/>
      <c r="T15" s="1173"/>
      <c r="U15" s="1173"/>
      <c r="V15" s="1173"/>
      <c r="W15" s="1173"/>
      <c r="X15" s="1173"/>
      <c r="Y15" s="806"/>
      <c r="Z15" s="1170"/>
      <c r="AB15" s="864"/>
    </row>
    <row r="16" spans="1:28" s="5" customFormat="1" ht="22.5" customHeight="1" hidden="1" thickBot="1">
      <c r="A16" s="94"/>
      <c r="B16" s="81"/>
      <c r="C16" s="81" t="s">
        <v>88</v>
      </c>
      <c r="D16" s="306" t="s">
        <v>90</v>
      </c>
      <c r="E16" s="317"/>
      <c r="F16" s="97"/>
      <c r="G16" s="97"/>
      <c r="H16" s="739"/>
      <c r="I16" s="1231"/>
      <c r="J16" s="739"/>
      <c r="K16" s="653" t="e">
        <f t="shared" si="1"/>
        <v>#DIV/0!</v>
      </c>
      <c r="L16" s="317"/>
      <c r="M16" s="97"/>
      <c r="N16" s="97"/>
      <c r="O16" s="739"/>
      <c r="P16" s="1169"/>
      <c r="Q16" s="317"/>
      <c r="R16" s="317"/>
      <c r="S16" s="317"/>
      <c r="T16" s="97"/>
      <c r="U16" s="97"/>
      <c r="V16" s="97"/>
      <c r="W16" s="97"/>
      <c r="X16" s="97"/>
      <c r="Y16" s="739"/>
      <c r="Z16" s="1169"/>
      <c r="AB16" s="864"/>
    </row>
    <row r="17" spans="1:28" s="5" customFormat="1" ht="22.5" customHeight="1" thickBot="1">
      <c r="A17" s="76" t="s">
        <v>27</v>
      </c>
      <c r="B17" s="1852" t="s">
        <v>91</v>
      </c>
      <c r="C17" s="1852"/>
      <c r="D17" s="1852"/>
      <c r="E17" s="313">
        <f aca="true" t="shared" si="9" ref="E17:J17">SUM(E18:E20)</f>
        <v>263047442</v>
      </c>
      <c r="F17" s="45">
        <f>SUM(F18:F20)</f>
        <v>249787015</v>
      </c>
      <c r="G17" s="45">
        <f>SUM(G18:G20)</f>
        <v>259771744</v>
      </c>
      <c r="H17" s="736">
        <f>SUM(H18:H20)</f>
        <v>301049156</v>
      </c>
      <c r="I17" s="1232">
        <f t="shared" si="9"/>
        <v>239569248</v>
      </c>
      <c r="J17" s="736">
        <f t="shared" si="9"/>
        <v>0</v>
      </c>
      <c r="K17" s="653">
        <f t="shared" si="1"/>
        <v>0.7957811647211527</v>
      </c>
      <c r="L17" s="313">
        <f aca="true" t="shared" si="10" ref="L17:S17">SUM(L18:L20)</f>
        <v>254980935</v>
      </c>
      <c r="M17" s="45">
        <f>SUM(M18:M20)</f>
        <v>241370729</v>
      </c>
      <c r="N17" s="45">
        <f>SUM(N18:N20)</f>
        <v>251355458</v>
      </c>
      <c r="O17" s="736">
        <f>SUM(O18:O20)</f>
        <v>292162710</v>
      </c>
      <c r="P17" s="1157">
        <f t="shared" si="10"/>
        <v>0</v>
      </c>
      <c r="Q17" s="313">
        <f t="shared" si="10"/>
        <v>230682802</v>
      </c>
      <c r="R17" s="1749">
        <f>SUM(Q17/O17)</f>
        <v>0.7895696271437241</v>
      </c>
      <c r="S17" s="313">
        <f t="shared" si="10"/>
        <v>8066507</v>
      </c>
      <c r="T17" s="45">
        <f aca="true" t="shared" si="11" ref="T17:Z17">SUM(T18:T20)</f>
        <v>8416286</v>
      </c>
      <c r="U17" s="45">
        <f t="shared" si="11"/>
        <v>8416286</v>
      </c>
      <c r="V17" s="45">
        <f>SUM(V18:V20)</f>
        <v>8886446</v>
      </c>
      <c r="W17" s="45">
        <f t="shared" si="11"/>
        <v>8886446</v>
      </c>
      <c r="X17" s="45">
        <f t="shared" si="11"/>
        <v>0</v>
      </c>
      <c r="Y17" s="1749">
        <f>SUM(W17/V17)</f>
        <v>1</v>
      </c>
      <c r="Z17" s="1157">
        <f t="shared" si="11"/>
        <v>0</v>
      </c>
      <c r="AB17" s="1745"/>
    </row>
    <row r="18" spans="1:26" s="5" customFormat="1" ht="22.5" customHeight="1" thickBot="1">
      <c r="A18" s="75"/>
      <c r="B18" s="80" t="s">
        <v>38</v>
      </c>
      <c r="C18" s="1859" t="s">
        <v>92</v>
      </c>
      <c r="D18" s="1859"/>
      <c r="E18" s="312">
        <v>60716012</v>
      </c>
      <c r="F18" s="252">
        <v>58497536</v>
      </c>
      <c r="G18" s="252">
        <v>65939917</v>
      </c>
      <c r="H18" s="735">
        <v>79046976</v>
      </c>
      <c r="I18" s="1233">
        <v>54299162</v>
      </c>
      <c r="J18" s="735"/>
      <c r="K18" s="653">
        <f t="shared" si="1"/>
        <v>0.6869226977133193</v>
      </c>
      <c r="L18" s="312">
        <f aca="true" t="shared" si="12" ref="L18:O19">+E18-S18</f>
        <v>60716012</v>
      </c>
      <c r="M18" s="252">
        <f t="shared" si="12"/>
        <v>58307876</v>
      </c>
      <c r="N18" s="252">
        <f t="shared" si="12"/>
        <v>65750257</v>
      </c>
      <c r="O18" s="735">
        <f t="shared" si="12"/>
        <v>78457156</v>
      </c>
      <c r="P18" s="1167"/>
      <c r="Q18" s="312">
        <f>SUM(I18-W18)</f>
        <v>53709342</v>
      </c>
      <c r="R18" s="1748">
        <f>SUM(Q18/O18)</f>
        <v>0.6845690659498287</v>
      </c>
      <c r="S18" s="312">
        <f>+'6.a.sz.m.fejlesztés (4)'!D14</f>
        <v>0</v>
      </c>
      <c r="T18" s="252">
        <f>+'6.a.sz.m.fejlesztés (4)'!E14</f>
        <v>189660</v>
      </c>
      <c r="U18" s="252">
        <f>+'6.a.sz.m.fejlesztés (4)'!F14</f>
        <v>189660</v>
      </c>
      <c r="V18" s="252">
        <f>+'6.a.sz.m.fejlesztés (4)'!G10</f>
        <v>589820</v>
      </c>
      <c r="W18" s="252">
        <v>589820</v>
      </c>
      <c r="X18" s="252">
        <v>0</v>
      </c>
      <c r="Y18" s="1748">
        <f>SUM(W18/V18)</f>
        <v>1</v>
      </c>
      <c r="Z18" s="1167">
        <v>0</v>
      </c>
    </row>
    <row r="19" spans="1:26" s="5" customFormat="1" ht="22.5" customHeight="1" thickBot="1">
      <c r="A19" s="58"/>
      <c r="B19" s="67" t="s">
        <v>39</v>
      </c>
      <c r="C19" s="1850" t="s">
        <v>93</v>
      </c>
      <c r="D19" s="1850"/>
      <c r="E19" s="307">
        <v>196331430</v>
      </c>
      <c r="F19" s="1246">
        <v>185289479</v>
      </c>
      <c r="G19" s="1246">
        <v>187831827</v>
      </c>
      <c r="H19" s="807">
        <v>215932180</v>
      </c>
      <c r="I19" s="1230">
        <v>179200086</v>
      </c>
      <c r="J19" s="807"/>
      <c r="K19" s="653">
        <f t="shared" si="1"/>
        <v>0.8298905980572233</v>
      </c>
      <c r="L19" s="312">
        <f t="shared" si="12"/>
        <v>194264923</v>
      </c>
      <c r="M19" s="252">
        <f t="shared" si="12"/>
        <v>183062853</v>
      </c>
      <c r="N19" s="252">
        <f t="shared" si="12"/>
        <v>185605201</v>
      </c>
      <c r="O19" s="735">
        <f t="shared" si="12"/>
        <v>213705554</v>
      </c>
      <c r="P19" s="1242"/>
      <c r="Q19" s="312">
        <f>SUM(I19-W19)</f>
        <v>176973460</v>
      </c>
      <c r="R19" s="1748">
        <f>SUM(Q19/O19)</f>
        <v>0.8281182060434423</v>
      </c>
      <c r="S19" s="307">
        <f>+'6.a.sz.m.fejlesztés (4)'!D34</f>
        <v>2066507</v>
      </c>
      <c r="T19" s="1246">
        <f>+'6.a.sz.m.fejlesztés (4)'!E34</f>
        <v>2226626</v>
      </c>
      <c r="U19" s="1246">
        <f>+'6.a.sz.m.fejlesztés (4)'!F34</f>
        <v>2226626</v>
      </c>
      <c r="V19" s="1246">
        <f>+'6.a.sz.m.fejlesztés (4)'!G34</f>
        <v>2226626</v>
      </c>
      <c r="W19" s="1246">
        <v>2226626</v>
      </c>
      <c r="X19" s="1246">
        <v>0</v>
      </c>
      <c r="Y19" s="1748">
        <f>SUM(W19/V19)</f>
        <v>1</v>
      </c>
      <c r="Z19" s="1242">
        <v>0</v>
      </c>
    </row>
    <row r="20" spans="1:26" s="5" customFormat="1" ht="22.5" customHeight="1" thickBot="1">
      <c r="A20" s="88"/>
      <c r="B20" s="67" t="s">
        <v>40</v>
      </c>
      <c r="C20" s="1863" t="s">
        <v>94</v>
      </c>
      <c r="D20" s="1863"/>
      <c r="E20" s="347">
        <f aca="true" t="shared" si="13" ref="E20:L20">SUM(E21:E24)</f>
        <v>6000000</v>
      </c>
      <c r="F20" s="1173">
        <f>SUM(F21:F24)</f>
        <v>6000000</v>
      </c>
      <c r="G20" s="1173">
        <f>SUM(G21:G24)</f>
        <v>6000000</v>
      </c>
      <c r="H20" s="806">
        <f>SUM(H21:H24)</f>
        <v>6070000</v>
      </c>
      <c r="I20" s="1229">
        <f t="shared" si="13"/>
        <v>6070000</v>
      </c>
      <c r="J20" s="806">
        <f t="shared" si="13"/>
        <v>0</v>
      </c>
      <c r="K20" s="653">
        <f t="shared" si="1"/>
        <v>1</v>
      </c>
      <c r="L20" s="347">
        <f t="shared" si="13"/>
        <v>0</v>
      </c>
      <c r="M20" s="1173">
        <f aca="true" t="shared" si="14" ref="M20:T20">SUM(M21:M24)</f>
        <v>0</v>
      </c>
      <c r="N20" s="1173">
        <f>SUM(N21:N24)</f>
        <v>0</v>
      </c>
      <c r="O20" s="806">
        <f>SUM(O21:O24)</f>
        <v>0</v>
      </c>
      <c r="P20" s="1170">
        <f t="shared" si="14"/>
        <v>0</v>
      </c>
      <c r="Q20" s="347">
        <f t="shared" si="14"/>
        <v>0</v>
      </c>
      <c r="R20" s="347">
        <f t="shared" si="14"/>
        <v>0</v>
      </c>
      <c r="S20" s="347">
        <f t="shared" si="14"/>
        <v>6000000</v>
      </c>
      <c r="T20" s="1173">
        <f t="shared" si="14"/>
        <v>6000000</v>
      </c>
      <c r="U20" s="1173">
        <f aca="true" t="shared" si="15" ref="U20:Z20">SUM(U21:U24)</f>
        <v>6000000</v>
      </c>
      <c r="V20" s="1173">
        <f>SUM(V21:V24)</f>
        <v>6070000</v>
      </c>
      <c r="W20" s="1173">
        <f t="shared" si="15"/>
        <v>6070000</v>
      </c>
      <c r="X20" s="1173">
        <f t="shared" si="15"/>
        <v>0</v>
      </c>
      <c r="Y20" s="1748">
        <f>SUM(W20/V20)</f>
        <v>1</v>
      </c>
      <c r="Z20" s="1170">
        <f t="shared" si="15"/>
        <v>0</v>
      </c>
    </row>
    <row r="21" spans="1:26" s="5" customFormat="1" ht="22.5" customHeight="1" thickBot="1">
      <c r="A21" s="64"/>
      <c r="B21" s="68"/>
      <c r="C21" s="68" t="s">
        <v>95</v>
      </c>
      <c r="D21" s="209" t="s">
        <v>85</v>
      </c>
      <c r="E21" s="307">
        <v>6000000</v>
      </c>
      <c r="F21" s="1246">
        <v>6000000</v>
      </c>
      <c r="G21" s="1246">
        <v>6000000</v>
      </c>
      <c r="H21" s="807">
        <v>6070000</v>
      </c>
      <c r="I21" s="1230">
        <v>6070000</v>
      </c>
      <c r="J21" s="807"/>
      <c r="K21" s="653">
        <f t="shared" si="1"/>
        <v>1</v>
      </c>
      <c r="L21" s="347">
        <f aca="true" t="shared" si="16" ref="L21:R21">E21-S21</f>
        <v>0</v>
      </c>
      <c r="M21" s="1173">
        <f t="shared" si="16"/>
        <v>0</v>
      </c>
      <c r="N21" s="1173">
        <f t="shared" si="16"/>
        <v>0</v>
      </c>
      <c r="O21" s="806">
        <f t="shared" si="16"/>
        <v>0</v>
      </c>
      <c r="P21" s="1170">
        <f t="shared" si="16"/>
        <v>0</v>
      </c>
      <c r="Q21" s="347">
        <f t="shared" si="16"/>
        <v>0</v>
      </c>
      <c r="R21" s="347">
        <f t="shared" si="16"/>
        <v>0</v>
      </c>
      <c r="S21" s="307">
        <f>'9.sz.m.átadott pe (3)'!V63</f>
        <v>6000000</v>
      </c>
      <c r="T21" s="1246">
        <f>'9.sz.m.átadott pe (3)'!W63</f>
        <v>6000000</v>
      </c>
      <c r="U21" s="1246">
        <f>'9.sz.m.átadott pe (3)'!X63</f>
        <v>6000000</v>
      </c>
      <c r="V21" s="1246">
        <f>'9.sz.m.átadott pe (3)'!Y63</f>
        <v>6070000</v>
      </c>
      <c r="W21" s="1246">
        <v>6070000</v>
      </c>
      <c r="X21" s="1654"/>
      <c r="Y21" s="1748">
        <f>SUM(W21/V21)</f>
        <v>1</v>
      </c>
      <c r="Z21" s="1242">
        <f>'9.sz.m.átadott pe (3)'!AC63</f>
        <v>0</v>
      </c>
    </row>
    <row r="22" spans="1:26" s="5" customFormat="1" ht="22.5" customHeight="1" thickBot="1">
      <c r="A22" s="64"/>
      <c r="B22" s="68"/>
      <c r="C22" s="68" t="s">
        <v>96</v>
      </c>
      <c r="D22" s="209" t="s">
        <v>86</v>
      </c>
      <c r="E22" s="307"/>
      <c r="F22" s="1246"/>
      <c r="G22" s="1246"/>
      <c r="H22" s="807"/>
      <c r="I22" s="1230"/>
      <c r="J22" s="807"/>
      <c r="K22" s="653" t="e">
        <f t="shared" si="1"/>
        <v>#DIV/0!</v>
      </c>
      <c r="L22" s="307">
        <v>0</v>
      </c>
      <c r="M22" s="1246">
        <v>0</v>
      </c>
      <c r="N22" s="1246">
        <v>0</v>
      </c>
      <c r="O22" s="807">
        <v>0</v>
      </c>
      <c r="P22" s="1242">
        <v>0</v>
      </c>
      <c r="Q22" s="307">
        <v>0</v>
      </c>
      <c r="R22" s="307">
        <v>0</v>
      </c>
      <c r="S22" s="307">
        <v>0</v>
      </c>
      <c r="T22" s="1246">
        <v>0</v>
      </c>
      <c r="U22" s="1246">
        <v>0</v>
      </c>
      <c r="V22" s="1246">
        <v>0</v>
      </c>
      <c r="W22" s="1246">
        <v>0</v>
      </c>
      <c r="X22" s="1246">
        <v>0</v>
      </c>
      <c r="Y22" s="807">
        <v>0</v>
      </c>
      <c r="Z22" s="1242">
        <v>0</v>
      </c>
    </row>
    <row r="23" spans="1:26" s="5" customFormat="1" ht="36.75" customHeight="1" thickBot="1">
      <c r="A23" s="88"/>
      <c r="B23" s="209"/>
      <c r="C23" s="68" t="s">
        <v>97</v>
      </c>
      <c r="D23" s="209" t="s">
        <v>471</v>
      </c>
      <c r="E23" s="347"/>
      <c r="F23" s="1173"/>
      <c r="G23" s="1173"/>
      <c r="H23" s="806"/>
      <c r="I23" s="1229"/>
      <c r="J23" s="806"/>
      <c r="K23" s="653" t="e">
        <f t="shared" si="1"/>
        <v>#DIV/0!</v>
      </c>
      <c r="L23" s="347">
        <v>0</v>
      </c>
      <c r="M23" s="1173">
        <v>0</v>
      </c>
      <c r="N23" s="1173">
        <v>0</v>
      </c>
      <c r="O23" s="806">
        <v>0</v>
      </c>
      <c r="P23" s="1170">
        <v>0</v>
      </c>
      <c r="Q23" s="347">
        <v>0</v>
      </c>
      <c r="R23" s="347">
        <v>0</v>
      </c>
      <c r="S23" s="347">
        <v>0</v>
      </c>
      <c r="T23" s="1173">
        <v>0</v>
      </c>
      <c r="U23" s="1173">
        <v>0</v>
      </c>
      <c r="V23" s="1173">
        <v>0</v>
      </c>
      <c r="W23" s="1173">
        <v>0</v>
      </c>
      <c r="X23" s="1173">
        <v>0</v>
      </c>
      <c r="Y23" s="806">
        <v>0</v>
      </c>
      <c r="Z23" s="1170">
        <v>0</v>
      </c>
    </row>
    <row r="24" spans="1:26" s="5" customFormat="1" ht="22.5" customHeight="1" thickBot="1">
      <c r="A24" s="234"/>
      <c r="B24" s="235"/>
      <c r="C24" s="236" t="s">
        <v>205</v>
      </c>
      <c r="D24" s="235" t="s">
        <v>206</v>
      </c>
      <c r="E24" s="348">
        <v>0</v>
      </c>
      <c r="F24" s="1247">
        <v>0</v>
      </c>
      <c r="G24" s="1247">
        <v>0</v>
      </c>
      <c r="H24" s="808">
        <v>0</v>
      </c>
      <c r="I24" s="1234">
        <v>0</v>
      </c>
      <c r="J24" s="808">
        <v>0</v>
      </c>
      <c r="K24" s="653" t="e">
        <f t="shared" si="1"/>
        <v>#DIV/0!</v>
      </c>
      <c r="L24" s="348">
        <v>0</v>
      </c>
      <c r="M24" s="1247">
        <v>0</v>
      </c>
      <c r="N24" s="1247">
        <v>0</v>
      </c>
      <c r="O24" s="808">
        <v>0</v>
      </c>
      <c r="P24" s="1243">
        <v>0</v>
      </c>
      <c r="Q24" s="348">
        <v>0</v>
      </c>
      <c r="R24" s="348">
        <v>0</v>
      </c>
      <c r="S24" s="348">
        <v>0</v>
      </c>
      <c r="T24" s="1247">
        <v>0</v>
      </c>
      <c r="U24" s="1247">
        <v>0</v>
      </c>
      <c r="V24" s="1247">
        <v>0</v>
      </c>
      <c r="W24" s="1247">
        <v>0</v>
      </c>
      <c r="X24" s="1247">
        <v>0</v>
      </c>
      <c r="Y24" s="808">
        <v>0</v>
      </c>
      <c r="Z24" s="1243">
        <v>0</v>
      </c>
    </row>
    <row r="25" spans="1:26" s="5" customFormat="1" ht="22.5" customHeight="1" thickBot="1">
      <c r="A25" s="76" t="s">
        <v>9</v>
      </c>
      <c r="B25" s="1852" t="s">
        <v>98</v>
      </c>
      <c r="C25" s="1852"/>
      <c r="D25" s="1852"/>
      <c r="E25" s="313">
        <f aca="true" t="shared" si="17" ref="E25:J25">SUM(E26:E28)</f>
        <v>88768165</v>
      </c>
      <c r="F25" s="45">
        <f>SUM(F26:F28)</f>
        <v>80172407</v>
      </c>
      <c r="G25" s="45">
        <f>SUM(G26:G28)</f>
        <v>95182276</v>
      </c>
      <c r="H25" s="736">
        <f>SUM(H26:H28)</f>
        <v>0</v>
      </c>
      <c r="I25" s="1232">
        <f t="shared" si="17"/>
        <v>0</v>
      </c>
      <c r="J25" s="736">
        <f t="shared" si="17"/>
        <v>0</v>
      </c>
      <c r="K25" s="653" t="e">
        <f t="shared" si="1"/>
        <v>#DIV/0!</v>
      </c>
      <c r="L25" s="313">
        <f aca="true" t="shared" si="18" ref="L25:S25">SUM(L26:L28)</f>
        <v>88768165</v>
      </c>
      <c r="M25" s="45">
        <f>SUM(M26:M28)</f>
        <v>80172407</v>
      </c>
      <c r="N25" s="45">
        <f>SUM(N26:N28)</f>
        <v>95182276</v>
      </c>
      <c r="O25" s="736">
        <f>SUM(O26:O28)</f>
        <v>0</v>
      </c>
      <c r="P25" s="1157">
        <f t="shared" si="18"/>
        <v>0</v>
      </c>
      <c r="Q25" s="313">
        <f t="shared" si="18"/>
        <v>0</v>
      </c>
      <c r="R25" s="313" t="e">
        <f t="shared" si="18"/>
        <v>#DIV/0!</v>
      </c>
      <c r="S25" s="313">
        <f t="shared" si="18"/>
        <v>0</v>
      </c>
      <c r="T25" s="45">
        <f aca="true" t="shared" si="19" ref="T25:Z25">SUM(T26:T28)</f>
        <v>0</v>
      </c>
      <c r="U25" s="45">
        <f t="shared" si="19"/>
        <v>0</v>
      </c>
      <c r="V25" s="45">
        <f>SUM(V26:V28)</f>
        <v>0</v>
      </c>
      <c r="W25" s="45">
        <f t="shared" si="19"/>
        <v>0</v>
      </c>
      <c r="X25" s="45">
        <f t="shared" si="19"/>
        <v>0</v>
      </c>
      <c r="Y25" s="736">
        <f t="shared" si="19"/>
        <v>0</v>
      </c>
      <c r="Z25" s="1157">
        <f t="shared" si="19"/>
        <v>0</v>
      </c>
    </row>
    <row r="26" spans="1:26" s="5" customFormat="1" ht="22.5" customHeight="1" thickBot="1">
      <c r="A26" s="75"/>
      <c r="B26" s="80" t="s">
        <v>41</v>
      </c>
      <c r="C26" s="1859" t="s">
        <v>2</v>
      </c>
      <c r="D26" s="1859"/>
      <c r="E26" s="312">
        <v>88768165</v>
      </c>
      <c r="F26" s="252">
        <v>80172407</v>
      </c>
      <c r="G26" s="252">
        <v>95182276</v>
      </c>
      <c r="H26" s="735">
        <v>0</v>
      </c>
      <c r="I26" s="1233"/>
      <c r="J26" s="735">
        <v>0</v>
      </c>
      <c r="K26" s="653" t="e">
        <f t="shared" si="1"/>
        <v>#DIV/0!</v>
      </c>
      <c r="L26" s="312">
        <f aca="true" t="shared" si="20" ref="L26:R26">E26</f>
        <v>88768165</v>
      </c>
      <c r="M26" s="252">
        <f t="shared" si="20"/>
        <v>80172407</v>
      </c>
      <c r="N26" s="252">
        <f t="shared" si="20"/>
        <v>95182276</v>
      </c>
      <c r="O26" s="735">
        <f t="shared" si="20"/>
        <v>0</v>
      </c>
      <c r="P26" s="1167">
        <f t="shared" si="20"/>
        <v>0</v>
      </c>
      <c r="Q26" s="312">
        <f t="shared" si="20"/>
        <v>0</v>
      </c>
      <c r="R26" s="312" t="e">
        <f t="shared" si="20"/>
        <v>#DIV/0!</v>
      </c>
      <c r="S26" s="312">
        <v>0</v>
      </c>
      <c r="T26" s="252">
        <v>0</v>
      </c>
      <c r="U26" s="252">
        <v>0</v>
      </c>
      <c r="V26" s="252">
        <v>0</v>
      </c>
      <c r="W26" s="252">
        <v>0</v>
      </c>
      <c r="X26" s="252">
        <v>0</v>
      </c>
      <c r="Y26" s="735">
        <v>0</v>
      </c>
      <c r="Z26" s="1167">
        <v>0</v>
      </c>
    </row>
    <row r="27" spans="1:26" s="8" customFormat="1" ht="22.5" customHeight="1" thickBot="1">
      <c r="A27" s="89"/>
      <c r="B27" s="67" t="s">
        <v>42</v>
      </c>
      <c r="C27" s="1869" t="s">
        <v>269</v>
      </c>
      <c r="D27" s="1869"/>
      <c r="E27" s="307">
        <v>0</v>
      </c>
      <c r="F27" s="1246">
        <v>0</v>
      </c>
      <c r="G27" s="1246">
        <v>0</v>
      </c>
      <c r="H27" s="807">
        <v>0</v>
      </c>
      <c r="I27" s="1230">
        <v>0</v>
      </c>
      <c r="J27" s="807">
        <v>0</v>
      </c>
      <c r="K27" s="653" t="e">
        <f t="shared" si="1"/>
        <v>#DIV/0!</v>
      </c>
      <c r="L27" s="307">
        <v>0</v>
      </c>
      <c r="M27" s="1246">
        <v>0</v>
      </c>
      <c r="N27" s="1246">
        <v>0</v>
      </c>
      <c r="O27" s="807">
        <v>0</v>
      </c>
      <c r="P27" s="1242">
        <v>0</v>
      </c>
      <c r="Q27" s="307">
        <v>0</v>
      </c>
      <c r="R27" s="307">
        <v>0</v>
      </c>
      <c r="S27" s="307">
        <v>0</v>
      </c>
      <c r="T27" s="1246">
        <v>0</v>
      </c>
      <c r="U27" s="1246">
        <v>0</v>
      </c>
      <c r="V27" s="1246">
        <v>0</v>
      </c>
      <c r="W27" s="1246">
        <v>0</v>
      </c>
      <c r="X27" s="1246">
        <v>0</v>
      </c>
      <c r="Y27" s="807">
        <v>0</v>
      </c>
      <c r="Z27" s="1242">
        <v>0</v>
      </c>
    </row>
    <row r="28" spans="1:26" s="8" customFormat="1" ht="22.5" customHeight="1" thickBot="1">
      <c r="A28" s="95"/>
      <c r="B28" s="81" t="s">
        <v>66</v>
      </c>
      <c r="C28" s="96" t="s">
        <v>99</v>
      </c>
      <c r="D28" s="96"/>
      <c r="E28" s="325">
        <v>0</v>
      </c>
      <c r="F28" s="326">
        <v>0</v>
      </c>
      <c r="G28" s="326">
        <v>0</v>
      </c>
      <c r="H28" s="809">
        <v>0</v>
      </c>
      <c r="I28" s="1235">
        <v>0</v>
      </c>
      <c r="J28" s="809">
        <v>0</v>
      </c>
      <c r="K28" s="653" t="e">
        <f t="shared" si="1"/>
        <v>#DIV/0!</v>
      </c>
      <c r="L28" s="325">
        <v>0</v>
      </c>
      <c r="M28" s="326">
        <v>0</v>
      </c>
      <c r="N28" s="326">
        <v>0</v>
      </c>
      <c r="O28" s="809">
        <v>0</v>
      </c>
      <c r="P28" s="1156">
        <v>0</v>
      </c>
      <c r="Q28" s="325">
        <v>0</v>
      </c>
      <c r="R28" s="325">
        <v>0</v>
      </c>
      <c r="S28" s="325">
        <v>0</v>
      </c>
      <c r="T28" s="326">
        <v>0</v>
      </c>
      <c r="U28" s="326">
        <v>0</v>
      </c>
      <c r="V28" s="326">
        <v>0</v>
      </c>
      <c r="W28" s="326">
        <v>0</v>
      </c>
      <c r="X28" s="326">
        <v>0</v>
      </c>
      <c r="Y28" s="809">
        <v>0</v>
      </c>
      <c r="Z28" s="1156">
        <v>0</v>
      </c>
    </row>
    <row r="29" spans="1:26" s="46" customFormat="1" ht="22.5" customHeight="1" thickBot="1">
      <c r="A29" s="56" t="s">
        <v>10</v>
      </c>
      <c r="B29" s="82" t="s">
        <v>100</v>
      </c>
      <c r="C29" s="82"/>
      <c r="D29" s="82"/>
      <c r="E29" s="314">
        <v>0</v>
      </c>
      <c r="F29" s="315">
        <v>0</v>
      </c>
      <c r="G29" s="315">
        <v>0</v>
      </c>
      <c r="H29" s="737">
        <v>0</v>
      </c>
      <c r="I29" s="1236">
        <v>0</v>
      </c>
      <c r="J29" s="737">
        <v>0</v>
      </c>
      <c r="K29" s="653" t="e">
        <f t="shared" si="1"/>
        <v>#DIV/0!</v>
      </c>
      <c r="L29" s="314">
        <v>0</v>
      </c>
      <c r="M29" s="315">
        <v>0</v>
      </c>
      <c r="N29" s="315">
        <v>0</v>
      </c>
      <c r="O29" s="737">
        <v>0</v>
      </c>
      <c r="P29" s="1168">
        <v>0</v>
      </c>
      <c r="Q29" s="314">
        <v>0</v>
      </c>
      <c r="R29" s="314">
        <v>0</v>
      </c>
      <c r="S29" s="314">
        <v>0</v>
      </c>
      <c r="T29" s="315">
        <v>0</v>
      </c>
      <c r="U29" s="315">
        <v>0</v>
      </c>
      <c r="V29" s="315">
        <v>0</v>
      </c>
      <c r="W29" s="315">
        <v>0</v>
      </c>
      <c r="X29" s="315">
        <v>0</v>
      </c>
      <c r="Y29" s="737">
        <v>0</v>
      </c>
      <c r="Z29" s="1168">
        <v>0</v>
      </c>
    </row>
    <row r="30" spans="1:26" s="46" customFormat="1" ht="22.5" customHeight="1" hidden="1" thickBot="1">
      <c r="A30" s="76"/>
      <c r="B30" s="1852"/>
      <c r="C30" s="1852"/>
      <c r="D30" s="1852"/>
      <c r="E30" s="677"/>
      <c r="F30" s="1248"/>
      <c r="G30" s="1248"/>
      <c r="H30" s="810"/>
      <c r="I30" s="1237"/>
      <c r="J30" s="810"/>
      <c r="K30" s="653" t="e">
        <f t="shared" si="1"/>
        <v>#DIV/0!</v>
      </c>
      <c r="L30" s="677"/>
      <c r="M30" s="1248"/>
      <c r="N30" s="1248"/>
      <c r="O30" s="810"/>
      <c r="P30" s="1244"/>
      <c r="Q30" s="677"/>
      <c r="R30" s="677"/>
      <c r="S30" s="677"/>
      <c r="T30" s="1248"/>
      <c r="U30" s="1248"/>
      <c r="V30" s="1248"/>
      <c r="W30" s="1248"/>
      <c r="X30" s="1248"/>
      <c r="Y30" s="810"/>
      <c r="Z30" s="1244"/>
    </row>
    <row r="31" spans="1:28" s="46" customFormat="1" ht="22.5" customHeight="1" thickBot="1">
      <c r="A31" s="76" t="s">
        <v>11</v>
      </c>
      <c r="B31" s="1840" t="s">
        <v>101</v>
      </c>
      <c r="C31" s="1840"/>
      <c r="D31" s="1840"/>
      <c r="E31" s="311">
        <f aca="true" t="shared" si="21" ref="E31:S31">E6+E17+E25+E29</f>
        <v>635212999</v>
      </c>
      <c r="F31" s="250">
        <f>F6+F17+F25+F29</f>
        <v>621760672</v>
      </c>
      <c r="G31" s="250">
        <f>G6+G17+G25+G29</f>
        <v>645307834</v>
      </c>
      <c r="H31" s="1731">
        <f>H6+H17+H25+H29</f>
        <v>718211526</v>
      </c>
      <c r="I31" s="1155">
        <f t="shared" si="21"/>
        <v>505193892</v>
      </c>
      <c r="J31" s="311">
        <f t="shared" si="21"/>
        <v>0</v>
      </c>
      <c r="K31" s="653">
        <f t="shared" si="1"/>
        <v>0.7034054365760763</v>
      </c>
      <c r="L31" s="311">
        <f t="shared" si="21"/>
        <v>595138120</v>
      </c>
      <c r="M31" s="250">
        <f>M6+M17+M25+M29</f>
        <v>573726014</v>
      </c>
      <c r="N31" s="250">
        <f>N6+N17+N25+N29</f>
        <v>597273176</v>
      </c>
      <c r="O31" s="734">
        <f>O6+O17+O25+O29</f>
        <v>675266350</v>
      </c>
      <c r="P31" s="1155">
        <f t="shared" si="21"/>
        <v>0</v>
      </c>
      <c r="Q31" s="311">
        <f t="shared" si="21"/>
        <v>468715404</v>
      </c>
      <c r="R31" s="1749">
        <f>SUM(Q31/O31)</f>
        <v>0.6941192967782268</v>
      </c>
      <c r="S31" s="311">
        <f t="shared" si="21"/>
        <v>40074879</v>
      </c>
      <c r="T31" s="250">
        <f>T6+T17+T25+T29</f>
        <v>48034658</v>
      </c>
      <c r="U31" s="250">
        <f>U6+U17+U25+U29</f>
        <v>48034658</v>
      </c>
      <c r="V31" s="250">
        <f>V6+V17+V25+V29</f>
        <v>42945176</v>
      </c>
      <c r="W31" s="250">
        <f>W6+W17+W25+W29</f>
        <v>36478488</v>
      </c>
      <c r="X31" s="250">
        <f>X6+X17+X25+X29+X35</f>
        <v>0</v>
      </c>
      <c r="Y31" s="1749">
        <f>SUM(W31/V31)</f>
        <v>0.8494199208777256</v>
      </c>
      <c r="Z31" s="1155">
        <f>Z6+Z17+Z25+Z29+Z35</f>
        <v>15.995241314904003</v>
      </c>
      <c r="AB31" s="864"/>
    </row>
    <row r="32" spans="1:26" s="46" customFormat="1" ht="22.5" customHeight="1" thickBot="1">
      <c r="A32" s="54" t="s">
        <v>12</v>
      </c>
      <c r="B32" s="1851" t="s">
        <v>102</v>
      </c>
      <c r="C32" s="1851"/>
      <c r="D32" s="1851"/>
      <c r="E32" s="316">
        <f aca="true" t="shared" si="22" ref="E32:J32">SUM(E33:E36)</f>
        <v>252537405</v>
      </c>
      <c r="F32" s="79">
        <f>SUM(F33:F36)</f>
        <v>252537405</v>
      </c>
      <c r="G32" s="79">
        <f>SUM(G33:G36)</f>
        <v>251003721</v>
      </c>
      <c r="H32" s="738">
        <f>SUM(H33:H36)</f>
        <v>235570778</v>
      </c>
      <c r="I32" s="1238">
        <f t="shared" si="22"/>
        <v>235570778</v>
      </c>
      <c r="J32" s="738">
        <f t="shared" si="22"/>
        <v>0</v>
      </c>
      <c r="K32" s="653">
        <f t="shared" si="1"/>
        <v>1</v>
      </c>
      <c r="L32" s="316">
        <f aca="true" t="shared" si="23" ref="L32:Q32">SUM(L33:L36)</f>
        <v>251098522</v>
      </c>
      <c r="M32" s="79">
        <f>SUM(M33:M36)</f>
        <v>251098522</v>
      </c>
      <c r="N32" s="79">
        <f>SUM(N33:N36)</f>
        <v>249564838</v>
      </c>
      <c r="O32" s="738">
        <f>SUM(O33:O36)</f>
        <v>234016405</v>
      </c>
      <c r="P32" s="1154">
        <f t="shared" si="23"/>
        <v>0</v>
      </c>
      <c r="Q32" s="316">
        <f t="shared" si="23"/>
        <v>234016405</v>
      </c>
      <c r="R32" s="1749">
        <f>SUM(Q32/O32)</f>
        <v>1</v>
      </c>
      <c r="S32" s="316">
        <f aca="true" t="shared" si="24" ref="S32:Z32">SUM(S33:S35)</f>
        <v>1438883</v>
      </c>
      <c r="T32" s="79">
        <f>SUM(T33:T35)</f>
        <v>1438883</v>
      </c>
      <c r="U32" s="79">
        <f>SUM(U33:U35)</f>
        <v>1438883</v>
      </c>
      <c r="V32" s="79">
        <f>SUM(V33:V35)</f>
        <v>1554373</v>
      </c>
      <c r="W32" s="79">
        <f t="shared" si="24"/>
        <v>1554373</v>
      </c>
      <c r="X32" s="79">
        <f t="shared" si="24"/>
        <v>0</v>
      </c>
      <c r="Y32" s="1749">
        <f>SUM(W32/V32)</f>
        <v>1</v>
      </c>
      <c r="Z32" s="1154">
        <f t="shared" si="24"/>
        <v>7</v>
      </c>
    </row>
    <row r="33" spans="1:28" s="5" customFormat="1" ht="22.5" customHeight="1">
      <c r="A33" s="98"/>
      <c r="B33" s="80" t="s">
        <v>45</v>
      </c>
      <c r="C33" s="1906" t="s">
        <v>271</v>
      </c>
      <c r="D33" s="1906"/>
      <c r="E33" s="312">
        <v>0</v>
      </c>
      <c r="F33" s="252">
        <v>0</v>
      </c>
      <c r="G33" s="252">
        <v>0</v>
      </c>
      <c r="H33" s="735">
        <v>0</v>
      </c>
      <c r="I33" s="1233"/>
      <c r="J33" s="312"/>
      <c r="K33" s="654"/>
      <c r="L33" s="312">
        <f aca="true" t="shared" si="25" ref="L33:O36">E33</f>
        <v>0</v>
      </c>
      <c r="M33" s="252">
        <f t="shared" si="25"/>
        <v>0</v>
      </c>
      <c r="N33" s="252">
        <f t="shared" si="25"/>
        <v>0</v>
      </c>
      <c r="O33" s="735">
        <f t="shared" si="25"/>
        <v>0</v>
      </c>
      <c r="P33" s="1167">
        <f aca="true" t="shared" si="26" ref="P33:R34">I33</f>
        <v>0</v>
      </c>
      <c r="Q33" s="312">
        <f t="shared" si="26"/>
        <v>0</v>
      </c>
      <c r="R33" s="312">
        <f t="shared" si="26"/>
        <v>0</v>
      </c>
      <c r="S33" s="312"/>
      <c r="T33" s="252"/>
      <c r="U33" s="252"/>
      <c r="V33" s="252"/>
      <c r="W33" s="252"/>
      <c r="X33" s="252"/>
      <c r="Y33" s="735"/>
      <c r="Z33" s="1167"/>
      <c r="AB33" s="1745"/>
    </row>
    <row r="34" spans="1:26" s="5" customFormat="1" ht="22.5" customHeight="1" thickBot="1">
      <c r="A34" s="58"/>
      <c r="B34" s="67" t="s">
        <v>314</v>
      </c>
      <c r="C34" s="1850" t="s">
        <v>454</v>
      </c>
      <c r="D34" s="1850"/>
      <c r="E34" s="347"/>
      <c r="F34" s="1173"/>
      <c r="G34" s="1173"/>
      <c r="H34" s="806"/>
      <c r="I34" s="1229"/>
      <c r="J34" s="347"/>
      <c r="K34" s="747"/>
      <c r="L34" s="347">
        <f t="shared" si="25"/>
        <v>0</v>
      </c>
      <c r="M34" s="1173">
        <f t="shared" si="25"/>
        <v>0</v>
      </c>
      <c r="N34" s="1173">
        <f t="shared" si="25"/>
        <v>0</v>
      </c>
      <c r="O34" s="806">
        <f t="shared" si="25"/>
        <v>0</v>
      </c>
      <c r="P34" s="1170">
        <f t="shared" si="26"/>
        <v>0</v>
      </c>
      <c r="Q34" s="347">
        <f t="shared" si="26"/>
        <v>0</v>
      </c>
      <c r="R34" s="347">
        <f t="shared" si="26"/>
        <v>0</v>
      </c>
      <c r="S34" s="347"/>
      <c r="T34" s="1173"/>
      <c r="U34" s="1173"/>
      <c r="V34" s="1173"/>
      <c r="W34" s="1173"/>
      <c r="X34" s="1173"/>
      <c r="Y34" s="806"/>
      <c r="Z34" s="1170"/>
    </row>
    <row r="35" spans="1:26" s="5" customFormat="1" ht="37.5" customHeight="1" thickBot="1">
      <c r="A35" s="549"/>
      <c r="B35" s="550" t="s">
        <v>431</v>
      </c>
      <c r="C35" s="1907" t="s">
        <v>270</v>
      </c>
      <c r="D35" s="1908"/>
      <c r="E35" s="552">
        <v>241624759</v>
      </c>
      <c r="F35" s="1249">
        <v>241624759</v>
      </c>
      <c r="G35" s="1249">
        <v>240091075</v>
      </c>
      <c r="H35" s="811">
        <v>224658132</v>
      </c>
      <c r="I35" s="1239">
        <v>224658132</v>
      </c>
      <c r="J35" s="811"/>
      <c r="K35" s="747">
        <f>I35/H35</f>
        <v>1</v>
      </c>
      <c r="L35" s="552">
        <f>E35-S35</f>
        <v>240185876</v>
      </c>
      <c r="M35" s="1249">
        <f>F35-T35</f>
        <v>240185876</v>
      </c>
      <c r="N35" s="1249">
        <f>G35-U35</f>
        <v>238652192</v>
      </c>
      <c r="O35" s="811">
        <f>H35-V35</f>
        <v>223103759</v>
      </c>
      <c r="P35" s="1245"/>
      <c r="Q35" s="552">
        <v>223103759</v>
      </c>
      <c r="R35" s="1750">
        <f>SUM(Q35/O35)</f>
        <v>1</v>
      </c>
      <c r="S35" s="552">
        <f>+'5.1 sz. m Köz Hiv'!S27</f>
        <v>1438883</v>
      </c>
      <c r="T35" s="1249">
        <f>+'5.1 sz. m Köz Hiv'!T27</f>
        <v>1438883</v>
      </c>
      <c r="U35" s="1249">
        <f>+'5.1 sz. m Köz Hiv'!U27</f>
        <v>1438883</v>
      </c>
      <c r="V35" s="1249">
        <f>+'5.1 sz. m Köz Hiv'!V27</f>
        <v>1554373</v>
      </c>
      <c r="W35" s="1249">
        <f>+'5.1 sz. m Köz Hiv'!W27</f>
        <v>1554373</v>
      </c>
      <c r="X35" s="1249">
        <v>0</v>
      </c>
      <c r="Y35" s="1748">
        <f>SUM(W35/V35)</f>
        <v>1</v>
      </c>
      <c r="Z35" s="1245">
        <v>7</v>
      </c>
    </row>
    <row r="36" spans="1:26" s="5" customFormat="1" ht="22.5" customHeight="1" thickBot="1">
      <c r="A36" s="549"/>
      <c r="B36" s="550" t="s">
        <v>452</v>
      </c>
      <c r="C36" s="551" t="s">
        <v>430</v>
      </c>
      <c r="D36" s="551"/>
      <c r="E36" s="552">
        <v>10912646</v>
      </c>
      <c r="F36" s="1249">
        <v>10912646</v>
      </c>
      <c r="G36" s="1249">
        <v>10912646</v>
      </c>
      <c r="H36" s="811">
        <v>10912646</v>
      </c>
      <c r="I36" s="1239">
        <v>10912646</v>
      </c>
      <c r="J36" s="552"/>
      <c r="K36" s="747">
        <f>I36/H36</f>
        <v>1</v>
      </c>
      <c r="L36" s="552">
        <f t="shared" si="25"/>
        <v>10912646</v>
      </c>
      <c r="M36" s="1249">
        <f t="shared" si="25"/>
        <v>10912646</v>
      </c>
      <c r="N36" s="1249">
        <f t="shared" si="25"/>
        <v>10912646</v>
      </c>
      <c r="O36" s="811">
        <f t="shared" si="25"/>
        <v>10912646</v>
      </c>
      <c r="P36" s="1245"/>
      <c r="Q36" s="552">
        <v>10912646</v>
      </c>
      <c r="R36" s="1750">
        <f>SUM(Q36/O36)</f>
        <v>1</v>
      </c>
      <c r="S36" s="552"/>
      <c r="T36" s="1249"/>
      <c r="U36" s="1249"/>
      <c r="V36" s="1249"/>
      <c r="W36" s="1249"/>
      <c r="X36" s="1249"/>
      <c r="Y36" s="811"/>
      <c r="Z36" s="1245"/>
    </row>
    <row r="37" spans="1:26" s="5" customFormat="1" ht="22.5" customHeight="1" thickBot="1">
      <c r="A37" s="76" t="s">
        <v>453</v>
      </c>
      <c r="B37" s="1840" t="s">
        <v>230</v>
      </c>
      <c r="C37" s="1840"/>
      <c r="D37" s="1840"/>
      <c r="E37" s="313">
        <f aca="true" t="shared" si="27" ref="E37:J37">E31+E32</f>
        <v>887750404</v>
      </c>
      <c r="F37" s="45">
        <f>F31+F32</f>
        <v>874298077</v>
      </c>
      <c r="G37" s="45">
        <f>G31+G32</f>
        <v>896311555</v>
      </c>
      <c r="H37" s="736">
        <f>H31+H32</f>
        <v>953782304</v>
      </c>
      <c r="I37" s="1232">
        <f t="shared" si="27"/>
        <v>740764670</v>
      </c>
      <c r="J37" s="736">
        <f t="shared" si="27"/>
        <v>0</v>
      </c>
      <c r="K37" s="655">
        <f>I37/H37</f>
        <v>0.7766601109009462</v>
      </c>
      <c r="L37" s="313">
        <f aca="true" t="shared" si="28" ref="L37:S37">L31+L32</f>
        <v>846236642</v>
      </c>
      <c r="M37" s="45">
        <f>M31+M32</f>
        <v>824824536</v>
      </c>
      <c r="N37" s="45">
        <f>N31+N32</f>
        <v>846838014</v>
      </c>
      <c r="O37" s="736">
        <f>O31+O32</f>
        <v>909282755</v>
      </c>
      <c r="P37" s="1157">
        <f t="shared" si="28"/>
        <v>0</v>
      </c>
      <c r="Q37" s="313">
        <f t="shared" si="28"/>
        <v>702731809</v>
      </c>
      <c r="R37" s="1749">
        <f>SUM(Q37/O37)</f>
        <v>0.772841896688121</v>
      </c>
      <c r="S37" s="313">
        <f t="shared" si="28"/>
        <v>41513762</v>
      </c>
      <c r="T37" s="45">
        <f aca="true" t="shared" si="29" ref="T37:Z37">T31+T32</f>
        <v>49473541</v>
      </c>
      <c r="U37" s="45">
        <f t="shared" si="29"/>
        <v>49473541</v>
      </c>
      <c r="V37" s="45">
        <f>V31+V32</f>
        <v>44499549</v>
      </c>
      <c r="W37" s="45">
        <f t="shared" si="29"/>
        <v>38032861</v>
      </c>
      <c r="X37" s="45">
        <f t="shared" si="29"/>
        <v>0</v>
      </c>
      <c r="Y37" s="1749">
        <f>SUM(W37/V37)</f>
        <v>0.8546796957425343</v>
      </c>
      <c r="Z37" s="1157">
        <f t="shared" si="29"/>
        <v>22.995241314904003</v>
      </c>
    </row>
    <row r="38" spans="1:26" s="5" customFormat="1" ht="19.5" customHeight="1" hidden="1" thickBot="1">
      <c r="A38" s="1825" t="s">
        <v>231</v>
      </c>
      <c r="B38" s="1826"/>
      <c r="C38" s="1826"/>
      <c r="D38" s="1826"/>
      <c r="E38" s="493"/>
      <c r="F38" s="494"/>
      <c r="G38" s="494"/>
      <c r="H38" s="812"/>
      <c r="I38" s="1240"/>
      <c r="J38" s="812"/>
      <c r="K38" s="495" t="e">
        <f>I38/H38</f>
        <v>#DIV/0!</v>
      </c>
      <c r="L38" s="493"/>
      <c r="M38" s="494"/>
      <c r="N38" s="494"/>
      <c r="O38" s="812"/>
      <c r="P38" s="1158"/>
      <c r="Q38" s="493"/>
      <c r="R38" s="493"/>
      <c r="S38" s="493"/>
      <c r="T38" s="494"/>
      <c r="U38" s="494"/>
      <c r="V38" s="494"/>
      <c r="W38" s="494"/>
      <c r="X38" s="494"/>
      <c r="Y38" s="812"/>
      <c r="Z38" s="1158"/>
    </row>
    <row r="39" spans="1:26" s="5" customFormat="1" ht="19.5" customHeight="1" thickBot="1">
      <c r="A39" s="1839" t="s">
        <v>7</v>
      </c>
      <c r="B39" s="1840"/>
      <c r="C39" s="1840"/>
      <c r="D39" s="1840"/>
      <c r="E39" s="349">
        <f aca="true" t="shared" si="30" ref="E39:J39">SUM(E37:E38)</f>
        <v>887750404</v>
      </c>
      <c r="F39" s="350">
        <f>SUM(F37:F38)</f>
        <v>874298077</v>
      </c>
      <c r="G39" s="350">
        <f>SUM(G37:G38)</f>
        <v>896311555</v>
      </c>
      <c r="H39" s="813">
        <f>SUM(H37:H38)</f>
        <v>953782304</v>
      </c>
      <c r="I39" s="1241">
        <f t="shared" si="30"/>
        <v>740764670</v>
      </c>
      <c r="J39" s="813">
        <f t="shared" si="30"/>
        <v>0</v>
      </c>
      <c r="K39" s="351">
        <f>I39/H39</f>
        <v>0.7766601109009462</v>
      </c>
      <c r="L39" s="349">
        <f aca="true" t="shared" si="31" ref="L39:S39">SUM(L37:L38)</f>
        <v>846236642</v>
      </c>
      <c r="M39" s="350">
        <f>SUM(M37:M38)</f>
        <v>824824536</v>
      </c>
      <c r="N39" s="350">
        <f>SUM(N37:N38)</f>
        <v>846838014</v>
      </c>
      <c r="O39" s="1733">
        <f>SUM(O37:O38)</f>
        <v>909282755</v>
      </c>
      <c r="P39" s="1159">
        <f t="shared" si="31"/>
        <v>0</v>
      </c>
      <c r="Q39" s="1746">
        <f t="shared" si="31"/>
        <v>702731809</v>
      </c>
      <c r="R39" s="1749">
        <f>SUM(Q39/O39)</f>
        <v>0.772841896688121</v>
      </c>
      <c r="S39" s="349">
        <f t="shared" si="31"/>
        <v>41513762</v>
      </c>
      <c r="T39" s="350">
        <f aca="true" t="shared" si="32" ref="T39:Z39">SUM(T37:T38)</f>
        <v>49473541</v>
      </c>
      <c r="U39" s="350">
        <f t="shared" si="32"/>
        <v>49473541</v>
      </c>
      <c r="V39" s="1732">
        <f>SUM(V37:V38)</f>
        <v>44499549</v>
      </c>
      <c r="W39" s="1747">
        <f t="shared" si="32"/>
        <v>38032861</v>
      </c>
      <c r="X39" s="350">
        <f t="shared" si="32"/>
        <v>0</v>
      </c>
      <c r="Y39" s="1749">
        <f>SUM(W39/V39)</f>
        <v>0.8546796957425343</v>
      </c>
      <c r="Z39" s="1159">
        <f t="shared" si="32"/>
        <v>22.995241314904003</v>
      </c>
    </row>
    <row r="40" spans="1:26" s="5" customFormat="1" ht="19.5" customHeight="1" hidden="1">
      <c r="A40" s="396"/>
      <c r="B40" s="500"/>
      <c r="C40" s="396"/>
      <c r="D40" s="396"/>
      <c r="E40" s="501"/>
      <c r="F40" s="501"/>
      <c r="G40" s="501"/>
      <c r="H40" s="1734">
        <f>SUM(O39+V39)</f>
        <v>953782304</v>
      </c>
      <c r="I40" s="501">
        <f>SUM(Q39+W39)</f>
        <v>740764670</v>
      </c>
      <c r="J40" s="501"/>
      <c r="K40" s="501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</row>
    <row r="41" spans="1:26" s="5" customFormat="1" ht="19.5" customHeight="1" hidden="1">
      <c r="A41" s="38"/>
      <c r="B41" s="41"/>
      <c r="C41" s="41"/>
      <c r="D41" s="21"/>
      <c r="E41" s="6"/>
      <c r="F41" s="6"/>
      <c r="G41" s="6"/>
      <c r="H41" s="6"/>
      <c r="I41" s="6"/>
      <c r="J41" s="6"/>
      <c r="K41" s="6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:22" ht="15.75">
      <c r="A42" s="85"/>
      <c r="B42" s="37"/>
      <c r="C42" s="37"/>
      <c r="D42" s="21"/>
      <c r="E42" s="836"/>
      <c r="F42" s="836"/>
      <c r="G42" s="836"/>
      <c r="H42" s="836"/>
      <c r="I42" s="836"/>
      <c r="J42" s="836"/>
      <c r="K42" s="4"/>
      <c r="V42" s="48"/>
    </row>
    <row r="43" spans="1:11" ht="15.75">
      <c r="A43" s="85"/>
      <c r="B43" s="37"/>
      <c r="C43" s="37"/>
      <c r="D43" s="21"/>
      <c r="E43" s="835" t="str">
        <f>IF(L39+S39=E39," ","HIBA-nincs egyenlőség")</f>
        <v> </v>
      </c>
      <c r="F43" s="835" t="str">
        <f>IF(M39+T39=F39," ","HIBA-nincs egyenlőség")</f>
        <v> </v>
      </c>
      <c r="G43" s="835"/>
      <c r="H43" s="835"/>
      <c r="I43" s="835"/>
      <c r="J43" s="835"/>
      <c r="K43" s="835"/>
    </row>
    <row r="44" spans="1:20" ht="15.75">
      <c r="A44" s="85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85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85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85"/>
      <c r="B47" s="1"/>
      <c r="C47" s="1"/>
      <c r="D47" s="1"/>
      <c r="G47" s="48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85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85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85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85"/>
      <c r="B51" s="37"/>
      <c r="C51" s="37"/>
      <c r="D51" s="21"/>
      <c r="E51" s="3"/>
      <c r="F51" s="3"/>
      <c r="G51" s="3"/>
      <c r="H51" s="3"/>
      <c r="I51" s="3"/>
      <c r="J51" s="3"/>
      <c r="K51" s="3"/>
    </row>
    <row r="52" spans="1:11" ht="15.75">
      <c r="A52" s="85"/>
      <c r="B52" s="37"/>
      <c r="C52" s="37"/>
      <c r="D52" s="21"/>
      <c r="E52" s="3"/>
      <c r="F52" s="3"/>
      <c r="G52" s="3"/>
      <c r="H52" s="3"/>
      <c r="I52" s="3"/>
      <c r="J52" s="3"/>
      <c r="K52" s="3"/>
    </row>
    <row r="53" spans="1:11" ht="15.75">
      <c r="A53" s="85"/>
      <c r="B53" s="37"/>
      <c r="C53" s="37"/>
      <c r="D53" s="21"/>
      <c r="E53" s="3"/>
      <c r="F53" s="3"/>
      <c r="G53" s="3"/>
      <c r="H53" s="3"/>
      <c r="I53" s="3"/>
      <c r="J53" s="3"/>
      <c r="K53" s="3"/>
    </row>
    <row r="54" spans="1:11" ht="15.75">
      <c r="A54" s="85"/>
      <c r="B54" s="37"/>
      <c r="C54" s="37"/>
      <c r="D54" s="21"/>
      <c r="E54" s="3"/>
      <c r="F54" s="3"/>
      <c r="G54" s="3"/>
      <c r="H54" s="3"/>
      <c r="I54" s="3"/>
      <c r="J54" s="3"/>
      <c r="K54" s="3"/>
    </row>
    <row r="55" spans="1:11" ht="15.75">
      <c r="A55" s="85"/>
      <c r="B55" s="37"/>
      <c r="C55" s="37"/>
      <c r="D55" s="21"/>
      <c r="E55" s="3"/>
      <c r="F55" s="3"/>
      <c r="G55" s="3"/>
      <c r="H55" s="3"/>
      <c r="I55" s="3"/>
      <c r="J55" s="3"/>
      <c r="K55" s="3"/>
    </row>
    <row r="56" spans="1:11" ht="15.75">
      <c r="A56" s="85"/>
      <c r="B56" s="37"/>
      <c r="C56" s="37"/>
      <c r="D56" s="21"/>
      <c r="E56" s="3"/>
      <c r="F56" s="3"/>
      <c r="G56" s="3"/>
      <c r="H56" s="3"/>
      <c r="I56" s="3"/>
      <c r="J56" s="3"/>
      <c r="K56" s="3"/>
    </row>
    <row r="57" spans="1:11" ht="15.75">
      <c r="A57" s="85"/>
      <c r="B57" s="37"/>
      <c r="C57" s="37"/>
      <c r="D57" s="21"/>
      <c r="E57" s="3"/>
      <c r="F57" s="3"/>
      <c r="G57" s="3"/>
      <c r="H57" s="3"/>
      <c r="I57" s="3"/>
      <c r="J57" s="3"/>
      <c r="K57" s="3"/>
    </row>
    <row r="58" spans="1:11" ht="15.75">
      <c r="A58" s="85"/>
      <c r="B58" s="37"/>
      <c r="C58" s="37"/>
      <c r="D58" s="21"/>
      <c r="E58" s="3"/>
      <c r="F58" s="3"/>
      <c r="G58" s="3"/>
      <c r="H58" s="3"/>
      <c r="I58" s="3"/>
      <c r="J58" s="3"/>
      <c r="K58" s="3"/>
    </row>
    <row r="59" spans="1:11" ht="15.75">
      <c r="A59" s="85"/>
      <c r="B59" s="37"/>
      <c r="C59" s="37"/>
      <c r="D59" s="21"/>
      <c r="E59" s="3"/>
      <c r="F59" s="3"/>
      <c r="G59" s="3"/>
      <c r="H59" s="3"/>
      <c r="I59" s="3"/>
      <c r="J59" s="3"/>
      <c r="K59" s="3"/>
    </row>
    <row r="60" spans="1:11" ht="15.75">
      <c r="A60" s="85"/>
      <c r="B60" s="37"/>
      <c r="C60" s="37"/>
      <c r="D60" s="21"/>
      <c r="E60" s="3"/>
      <c r="F60" s="3"/>
      <c r="G60" s="3"/>
      <c r="H60" s="3"/>
      <c r="I60" s="3"/>
      <c r="J60" s="3"/>
      <c r="K60" s="3"/>
    </row>
  </sheetData>
  <sheetProtection/>
  <mergeCells count="21">
    <mergeCell ref="C27:D27"/>
    <mergeCell ref="C20:D20"/>
    <mergeCell ref="A4:D4"/>
    <mergeCell ref="A39:D39"/>
    <mergeCell ref="B30:D30"/>
    <mergeCell ref="A38:D38"/>
    <mergeCell ref="C33:D33"/>
    <mergeCell ref="B37:D37"/>
    <mergeCell ref="C35:D35"/>
    <mergeCell ref="C34:D34"/>
    <mergeCell ref="B31:D31"/>
    <mergeCell ref="E1:W1"/>
    <mergeCell ref="A2:S2"/>
    <mergeCell ref="B32:D32"/>
    <mergeCell ref="B6:D6"/>
    <mergeCell ref="B17:D17"/>
    <mergeCell ref="B25:D25"/>
    <mergeCell ref="C18:D18"/>
    <mergeCell ref="S4:Y4"/>
    <mergeCell ref="C26:D26"/>
    <mergeCell ref="C19:D1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G53"/>
  <sheetViews>
    <sheetView view="pageBreakPreview" zoomScale="60" zoomScaleNormal="110" zoomScalePageLayoutView="0" workbookViewId="0" topLeftCell="A1">
      <pane ySplit="6" topLeftCell="A25" activePane="bottomLeft" state="frozen"/>
      <selection pane="topLeft" activeCell="C1" sqref="C1"/>
      <selection pane="bottomLeft" activeCell="R40" sqref="R40"/>
    </sheetView>
  </sheetViews>
  <sheetFormatPr defaultColWidth="9.140625" defaultRowHeight="12.75"/>
  <cols>
    <col min="1" max="1" width="4.28125" style="178" customWidth="1"/>
    <col min="2" max="2" width="4.7109375" style="120" customWidth="1"/>
    <col min="3" max="3" width="45.421875" style="120" customWidth="1"/>
    <col min="4" max="4" width="11.140625" style="120" customWidth="1"/>
    <col min="5" max="5" width="10.57421875" style="120" hidden="1" customWidth="1"/>
    <col min="6" max="6" width="10.421875" style="120" hidden="1" customWidth="1"/>
    <col min="7" max="7" width="11.7109375" style="120" customWidth="1"/>
    <col min="8" max="8" width="12.421875" style="120" customWidth="1"/>
    <col min="9" max="9" width="10.140625" style="120" hidden="1" customWidth="1"/>
    <col min="10" max="10" width="9.8515625" style="120" customWidth="1"/>
    <col min="11" max="11" width="8.28125" style="120" hidden="1" customWidth="1"/>
    <col min="12" max="12" width="12.8515625" style="120" customWidth="1"/>
    <col min="13" max="13" width="11.00390625" style="120" hidden="1" customWidth="1"/>
    <col min="14" max="14" width="12.57421875" style="120" hidden="1" customWidth="1"/>
    <col min="15" max="15" width="10.140625" style="120" customWidth="1"/>
    <col min="16" max="16" width="10.28125" style="120" hidden="1" customWidth="1"/>
    <col min="17" max="17" width="10.28125" style="120" customWidth="1"/>
    <col min="18" max="18" width="11.7109375" style="120" customWidth="1"/>
    <col min="19" max="19" width="9.8515625" style="120" customWidth="1"/>
    <col min="20" max="21" width="9.8515625" style="120" hidden="1" customWidth="1"/>
    <col min="22" max="24" width="9.8515625" style="120" customWidth="1"/>
    <col min="25" max="25" width="13.140625" style="120" customWidth="1"/>
    <col min="26" max="26" width="9.140625" style="120" hidden="1" customWidth="1"/>
    <col min="27" max="27" width="9.421875" style="120" hidden="1" customWidth="1"/>
    <col min="28" max="28" width="10.00390625" style="120" customWidth="1"/>
    <col min="29" max="29" width="10.8515625" style="120" hidden="1" customWidth="1"/>
    <col min="30" max="30" width="10.00390625" style="120" hidden="1" customWidth="1"/>
    <col min="31" max="32" width="9.140625" style="120" customWidth="1"/>
    <col min="33" max="33" width="9.140625" style="120" hidden="1" customWidth="1"/>
    <col min="34" max="34" width="11.421875" style="120" bestFit="1" customWidth="1"/>
    <col min="35" max="35" width="12.421875" style="120" bestFit="1" customWidth="1"/>
    <col min="36" max="36" width="11.421875" style="120" bestFit="1" customWidth="1"/>
    <col min="37" max="16384" width="9.140625" style="120" customWidth="1"/>
  </cols>
  <sheetData>
    <row r="1" spans="1:29" s="112" customFormat="1" ht="21" customHeight="1">
      <c r="A1" s="108"/>
      <c r="B1" s="109"/>
      <c r="C1" s="1909" t="s">
        <v>568</v>
      </c>
      <c r="D1" s="1909"/>
      <c r="E1" s="1909"/>
      <c r="F1" s="1909"/>
      <c r="G1" s="1909"/>
      <c r="H1" s="1909"/>
      <c r="I1" s="1909"/>
      <c r="J1" s="1909"/>
      <c r="K1" s="1909"/>
      <c r="L1" s="1909"/>
      <c r="M1" s="1909"/>
      <c r="N1" s="1909"/>
      <c r="O1" s="1909"/>
      <c r="P1" s="1909"/>
      <c r="Q1" s="1909"/>
      <c r="R1" s="1909"/>
      <c r="S1" s="1909"/>
      <c r="T1" s="1909"/>
      <c r="U1" s="1909"/>
      <c r="V1" s="1909"/>
      <c r="W1" s="1909"/>
      <c r="X1" s="1909"/>
      <c r="Y1" s="1909"/>
      <c r="Z1" s="1909"/>
      <c r="AA1" s="1909"/>
      <c r="AB1" s="1909"/>
      <c r="AC1" s="1909"/>
    </row>
    <row r="2" spans="1:11" s="112" customFormat="1" ht="21" customHeight="1">
      <c r="A2" s="214"/>
      <c r="B2" s="109"/>
      <c r="C2" s="114"/>
      <c r="D2" s="113"/>
      <c r="E2" s="113"/>
      <c r="F2" s="113"/>
      <c r="G2" s="113"/>
      <c r="H2" s="113"/>
      <c r="I2" s="113"/>
      <c r="J2" s="113"/>
      <c r="K2" s="113"/>
    </row>
    <row r="3" spans="1:25" s="115" customFormat="1" ht="25.5" customHeight="1">
      <c r="A3" s="1912" t="s">
        <v>216</v>
      </c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</row>
    <row r="4" spans="1:25" s="118" customFormat="1" ht="15.75" customHeight="1" thickBot="1">
      <c r="A4" s="116"/>
      <c r="B4" s="116"/>
      <c r="C4" s="116"/>
      <c r="Y4" s="117" t="s">
        <v>443</v>
      </c>
    </row>
    <row r="5" spans="1:32" ht="36.75" customHeight="1" thickBot="1">
      <c r="A5" s="1910" t="s">
        <v>106</v>
      </c>
      <c r="B5" s="1911"/>
      <c r="C5" s="437" t="s">
        <v>107</v>
      </c>
      <c r="D5" s="1914" t="s">
        <v>4</v>
      </c>
      <c r="E5" s="1915"/>
      <c r="F5" s="1915"/>
      <c r="G5" s="1915"/>
      <c r="H5" s="1915"/>
      <c r="I5" s="1915"/>
      <c r="J5" s="1915"/>
      <c r="K5" s="1916"/>
      <c r="L5" s="1914" t="s">
        <v>104</v>
      </c>
      <c r="M5" s="1915"/>
      <c r="N5" s="1915"/>
      <c r="O5" s="1915"/>
      <c r="P5" s="1915"/>
      <c r="Q5" s="1915"/>
      <c r="R5" s="1916"/>
      <c r="S5" s="1914" t="s">
        <v>352</v>
      </c>
      <c r="T5" s="1915"/>
      <c r="U5" s="1915"/>
      <c r="V5" s="1917"/>
      <c r="W5" s="1686"/>
      <c r="X5" s="165"/>
      <c r="Y5" s="1914" t="s">
        <v>152</v>
      </c>
      <c r="Z5" s="1915"/>
      <c r="AA5" s="1915"/>
      <c r="AB5" s="1915"/>
      <c r="AC5" s="1915"/>
      <c r="AD5" s="1915"/>
      <c r="AE5" s="1915"/>
      <c r="AF5" s="1916"/>
    </row>
    <row r="6" spans="1:33" ht="13.5" thickBot="1">
      <c r="A6" s="268"/>
      <c r="B6" s="269"/>
      <c r="C6" s="437"/>
      <c r="D6" s="427" t="s">
        <v>222</v>
      </c>
      <c r="E6" s="119" t="s">
        <v>220</v>
      </c>
      <c r="F6" s="119" t="s">
        <v>223</v>
      </c>
      <c r="G6" s="119" t="s">
        <v>225</v>
      </c>
      <c r="H6" s="119" t="s">
        <v>228</v>
      </c>
      <c r="I6" s="119" t="s">
        <v>242</v>
      </c>
      <c r="J6" s="119" t="s">
        <v>337</v>
      </c>
      <c r="K6" s="398" t="s">
        <v>242</v>
      </c>
      <c r="L6" s="427" t="s">
        <v>222</v>
      </c>
      <c r="M6" s="119" t="s">
        <v>220</v>
      </c>
      <c r="N6" s="119" t="s">
        <v>223</v>
      </c>
      <c r="O6" s="119" t="s">
        <v>225</v>
      </c>
      <c r="P6" s="119" t="s">
        <v>237</v>
      </c>
      <c r="Q6" s="119" t="s">
        <v>228</v>
      </c>
      <c r="R6" s="398" t="s">
        <v>337</v>
      </c>
      <c r="S6" s="427" t="s">
        <v>222</v>
      </c>
      <c r="T6" s="119" t="s">
        <v>220</v>
      </c>
      <c r="U6" s="119" t="s">
        <v>223</v>
      </c>
      <c r="V6" s="437" t="s">
        <v>225</v>
      </c>
      <c r="W6" s="119" t="s">
        <v>228</v>
      </c>
      <c r="X6" s="119" t="s">
        <v>337</v>
      </c>
      <c r="Y6" s="119" t="s">
        <v>337</v>
      </c>
      <c r="Z6" s="119" t="s">
        <v>220</v>
      </c>
      <c r="AA6" s="119" t="s">
        <v>223</v>
      </c>
      <c r="AB6" s="119" t="s">
        <v>225</v>
      </c>
      <c r="AC6" s="119" t="s">
        <v>237</v>
      </c>
      <c r="AD6" s="119" t="s">
        <v>242</v>
      </c>
      <c r="AE6" s="119" t="s">
        <v>337</v>
      </c>
      <c r="AF6" s="398" t="s">
        <v>229</v>
      </c>
      <c r="AG6" s="397" t="s">
        <v>242</v>
      </c>
    </row>
    <row r="7" spans="1:33" s="124" customFormat="1" ht="12.75" customHeight="1" thickBot="1">
      <c r="A7" s="121">
        <v>1</v>
      </c>
      <c r="B7" s="122">
        <v>2</v>
      </c>
      <c r="C7" s="262">
        <v>3</v>
      </c>
      <c r="D7" s="121">
        <v>4</v>
      </c>
      <c r="E7" s="122">
        <v>5</v>
      </c>
      <c r="F7" s="122">
        <v>6</v>
      </c>
      <c r="G7" s="122">
        <v>7</v>
      </c>
      <c r="H7" s="122">
        <v>8</v>
      </c>
      <c r="I7" s="122">
        <v>5</v>
      </c>
      <c r="J7" s="122">
        <v>9</v>
      </c>
      <c r="K7" s="123"/>
      <c r="L7" s="121">
        <v>8</v>
      </c>
      <c r="M7" s="122">
        <v>9</v>
      </c>
      <c r="N7" s="122">
        <v>10</v>
      </c>
      <c r="O7" s="122">
        <v>11</v>
      </c>
      <c r="P7" s="122">
        <v>13</v>
      </c>
      <c r="Q7" s="122">
        <v>7</v>
      </c>
      <c r="R7" s="123">
        <v>15</v>
      </c>
      <c r="S7" s="121">
        <v>12</v>
      </c>
      <c r="T7" s="122">
        <v>13</v>
      </c>
      <c r="U7" s="122">
        <v>14</v>
      </c>
      <c r="V7" s="262">
        <v>15</v>
      </c>
      <c r="W7" s="262"/>
      <c r="X7" s="123"/>
      <c r="Y7" s="121">
        <v>16</v>
      </c>
      <c r="Z7" s="122">
        <v>17</v>
      </c>
      <c r="AA7" s="122">
        <v>18</v>
      </c>
      <c r="AB7" s="122">
        <v>19</v>
      </c>
      <c r="AC7" s="122">
        <v>18</v>
      </c>
      <c r="AD7" s="122">
        <v>9</v>
      </c>
      <c r="AE7" s="122">
        <v>21</v>
      </c>
      <c r="AF7" s="123"/>
      <c r="AG7" s="926"/>
    </row>
    <row r="8" spans="1:33" s="124" customFormat="1" ht="15.75" customHeight="1" thickBot="1">
      <c r="A8" s="125"/>
      <c r="B8" s="126"/>
      <c r="C8" s="126" t="s">
        <v>108</v>
      </c>
      <c r="D8" s="404"/>
      <c r="E8" s="180"/>
      <c r="F8" s="180"/>
      <c r="G8" s="180"/>
      <c r="H8" s="180"/>
      <c r="I8" s="180"/>
      <c r="J8" s="180"/>
      <c r="K8" s="244"/>
      <c r="L8" s="404"/>
      <c r="M8" s="180"/>
      <c r="N8" s="180"/>
      <c r="O8" s="180"/>
      <c r="P8" s="180"/>
      <c r="Q8" s="180"/>
      <c r="R8" s="244"/>
      <c r="S8" s="404"/>
      <c r="T8" s="180"/>
      <c r="U8" s="180"/>
      <c r="V8" s="1687"/>
      <c r="W8" s="1687"/>
      <c r="X8" s="1702"/>
      <c r="Y8" s="404"/>
      <c r="Z8" s="180"/>
      <c r="AA8" s="180"/>
      <c r="AB8" s="180"/>
      <c r="AC8" s="180"/>
      <c r="AD8" s="180"/>
      <c r="AE8" s="180"/>
      <c r="AF8" s="244"/>
      <c r="AG8" s="243"/>
    </row>
    <row r="9" spans="1:33" s="129" customFormat="1" ht="12" customHeight="1" thickBot="1">
      <c r="A9" s="121" t="s">
        <v>26</v>
      </c>
      <c r="B9" s="127"/>
      <c r="C9" s="438" t="s">
        <v>326</v>
      </c>
      <c r="D9" s="405">
        <f>SUM(D10:D13)</f>
        <v>50100</v>
      </c>
      <c r="E9" s="181">
        <f>SUM(E10:E13)</f>
        <v>50100</v>
      </c>
      <c r="F9" s="181">
        <f>SUM(F10:F13)</f>
        <v>50100</v>
      </c>
      <c r="G9" s="181">
        <f>SUM(G10:G13)</f>
        <v>175623</v>
      </c>
      <c r="H9" s="181">
        <f>SUM(H10:H13)</f>
        <v>175538</v>
      </c>
      <c r="I9" s="181">
        <f aca="true" t="shared" si="0" ref="I9:P9">SUM(I10:I13)</f>
        <v>0</v>
      </c>
      <c r="J9" s="1729">
        <f>SUM(H9/G9)</f>
        <v>0.999516008723231</v>
      </c>
      <c r="K9" s="128">
        <f t="shared" si="0"/>
        <v>0</v>
      </c>
      <c r="L9" s="405">
        <f t="shared" si="0"/>
        <v>50100</v>
      </c>
      <c r="M9" s="181">
        <f>SUM(M10:M13)</f>
        <v>50100</v>
      </c>
      <c r="N9" s="181">
        <f>SUM(N10:N13)</f>
        <v>50100</v>
      </c>
      <c r="O9" s="181">
        <f>SUM(O10:O13)</f>
        <v>175623</v>
      </c>
      <c r="P9" s="181">
        <f t="shared" si="0"/>
        <v>0</v>
      </c>
      <c r="Q9" s="181">
        <f>SUM(Q10:Q13)</f>
        <v>175538</v>
      </c>
      <c r="R9" s="1729">
        <f>SUM(Q9/O9)</f>
        <v>0.999516008723231</v>
      </c>
      <c r="S9" s="405"/>
      <c r="T9" s="181"/>
      <c r="U9" s="181"/>
      <c r="V9" s="1688"/>
      <c r="W9" s="1688"/>
      <c r="X9" s="128"/>
      <c r="Y9" s="405"/>
      <c r="Z9" s="181"/>
      <c r="AA9" s="181"/>
      <c r="AB9" s="181"/>
      <c r="AC9" s="181"/>
      <c r="AD9" s="181"/>
      <c r="AE9" s="181"/>
      <c r="AF9" s="128"/>
      <c r="AG9" s="240"/>
    </row>
    <row r="10" spans="1:33" s="129" customFormat="1" ht="12" customHeight="1">
      <c r="A10" s="130"/>
      <c r="B10" s="139" t="s">
        <v>35</v>
      </c>
      <c r="C10" s="794" t="s">
        <v>458</v>
      </c>
      <c r="D10" s="777"/>
      <c r="E10" s="190">
        <v>3000</v>
      </c>
      <c r="F10" s="190">
        <v>3000</v>
      </c>
      <c r="G10" s="190">
        <v>0</v>
      </c>
      <c r="H10" s="774"/>
      <c r="I10" s="774"/>
      <c r="J10" s="1256"/>
      <c r="K10" s="776"/>
      <c r="L10" s="777"/>
      <c r="M10" s="190">
        <v>3000</v>
      </c>
      <c r="N10" s="190">
        <v>3000</v>
      </c>
      <c r="O10" s="190">
        <v>0</v>
      </c>
      <c r="P10" s="774"/>
      <c r="Q10" s="774"/>
      <c r="R10" s="775"/>
      <c r="S10" s="777"/>
      <c r="T10" s="773"/>
      <c r="U10" s="773"/>
      <c r="V10" s="1689"/>
      <c r="W10" s="1689"/>
      <c r="X10" s="1266"/>
      <c r="Y10" s="777"/>
      <c r="Z10" s="773"/>
      <c r="AA10" s="773"/>
      <c r="AB10" s="773"/>
      <c r="AC10" s="773"/>
      <c r="AD10" s="773"/>
      <c r="AE10" s="771"/>
      <c r="AF10" s="772"/>
      <c r="AG10" s="1254"/>
    </row>
    <row r="11" spans="1:33" s="129" customFormat="1" ht="12" customHeight="1">
      <c r="A11" s="820"/>
      <c r="B11" s="131" t="s">
        <v>36</v>
      </c>
      <c r="C11" s="1250" t="s">
        <v>477</v>
      </c>
      <c r="D11" s="823"/>
      <c r="E11" s="821"/>
      <c r="F11" s="821"/>
      <c r="G11" s="821">
        <v>6000</v>
      </c>
      <c r="H11" s="822">
        <v>6000</v>
      </c>
      <c r="I11" s="822"/>
      <c r="J11" s="1257">
        <f>SUM(H11/G11)</f>
        <v>1</v>
      </c>
      <c r="K11" s="860"/>
      <c r="L11" s="861"/>
      <c r="M11" s="821"/>
      <c r="N11" s="821"/>
      <c r="O11" s="821">
        <v>6000</v>
      </c>
      <c r="P11" s="822"/>
      <c r="Q11" s="822">
        <v>6000</v>
      </c>
      <c r="R11" s="1257">
        <f>SUM(Q11/O11)</f>
        <v>1</v>
      </c>
      <c r="S11" s="823"/>
      <c r="T11" s="821"/>
      <c r="U11" s="821"/>
      <c r="V11" s="1690"/>
      <c r="W11" s="1690"/>
      <c r="X11" s="781"/>
      <c r="Y11" s="823"/>
      <c r="Z11" s="821"/>
      <c r="AA11" s="821"/>
      <c r="AB11" s="821"/>
      <c r="AC11" s="821"/>
      <c r="AD11" s="821"/>
      <c r="AE11" s="771"/>
      <c r="AF11" s="772"/>
      <c r="AG11" s="1254"/>
    </row>
    <row r="12" spans="1:33" s="129" customFormat="1" ht="12" customHeight="1">
      <c r="A12" s="132"/>
      <c r="B12" s="131" t="s">
        <v>37</v>
      </c>
      <c r="C12" s="795" t="s">
        <v>300</v>
      </c>
      <c r="D12" s="798">
        <v>100</v>
      </c>
      <c r="E12" s="779">
        <v>100</v>
      </c>
      <c r="F12" s="779">
        <v>100</v>
      </c>
      <c r="G12" s="779">
        <v>100</v>
      </c>
      <c r="H12" s="779">
        <v>15</v>
      </c>
      <c r="I12" s="779"/>
      <c r="J12" s="1257">
        <f>SUM(H12/G12)</f>
        <v>0.15</v>
      </c>
      <c r="K12" s="862"/>
      <c r="L12" s="423">
        <f>+D12-S12</f>
        <v>100</v>
      </c>
      <c r="M12" s="779">
        <v>100</v>
      </c>
      <c r="N12" s="779">
        <v>100</v>
      </c>
      <c r="O12" s="779">
        <v>100</v>
      </c>
      <c r="P12" s="779"/>
      <c r="Q12" s="779">
        <v>15</v>
      </c>
      <c r="R12" s="1257">
        <f>SUM(Q12/O12)</f>
        <v>0.15</v>
      </c>
      <c r="S12" s="798"/>
      <c r="T12" s="779"/>
      <c r="U12" s="779"/>
      <c r="V12" s="1691"/>
      <c r="W12" s="1691"/>
      <c r="X12" s="862"/>
      <c r="Y12" s="782"/>
      <c r="Z12" s="778"/>
      <c r="AA12" s="778"/>
      <c r="AB12" s="778"/>
      <c r="AC12" s="778"/>
      <c r="AD12" s="778"/>
      <c r="AE12" s="771"/>
      <c r="AF12" s="772"/>
      <c r="AG12" s="1254"/>
    </row>
    <row r="13" spans="1:33" s="129" customFormat="1" ht="12" customHeight="1" thickBot="1">
      <c r="A13" s="783"/>
      <c r="B13" s="131" t="s">
        <v>48</v>
      </c>
      <c r="C13" s="796" t="s">
        <v>459</v>
      </c>
      <c r="D13" s="799">
        <v>50000</v>
      </c>
      <c r="E13" s="786">
        <v>47000</v>
      </c>
      <c r="F13" s="786">
        <v>47000</v>
      </c>
      <c r="G13" s="786">
        <v>169523</v>
      </c>
      <c r="H13" s="786">
        <v>169523</v>
      </c>
      <c r="I13" s="786"/>
      <c r="J13" s="1257">
        <f>SUM(H13/G13)</f>
        <v>1</v>
      </c>
      <c r="K13" s="787"/>
      <c r="L13" s="423">
        <f>+D13-S13</f>
        <v>50000</v>
      </c>
      <c r="M13" s="786">
        <v>47000</v>
      </c>
      <c r="N13" s="786">
        <v>47000</v>
      </c>
      <c r="O13" s="786">
        <v>169523</v>
      </c>
      <c r="P13" s="786"/>
      <c r="Q13" s="786">
        <v>169523</v>
      </c>
      <c r="R13" s="1257">
        <f>SUM(Q13/O13)</f>
        <v>1</v>
      </c>
      <c r="S13" s="799"/>
      <c r="T13" s="786"/>
      <c r="U13" s="786"/>
      <c r="V13" s="1692"/>
      <c r="W13" s="1692"/>
      <c r="X13" s="862"/>
      <c r="Y13" s="788"/>
      <c r="Z13" s="785"/>
      <c r="AA13" s="785"/>
      <c r="AB13" s="785"/>
      <c r="AC13" s="785"/>
      <c r="AD13" s="785"/>
      <c r="AE13" s="771"/>
      <c r="AF13" s="772"/>
      <c r="AG13" s="1254"/>
    </row>
    <row r="14" spans="1:33" s="134" customFormat="1" ht="12" customHeight="1" hidden="1" thickBot="1">
      <c r="A14" s="135" t="s">
        <v>27</v>
      </c>
      <c r="B14" s="131"/>
      <c r="C14" s="1251" t="s">
        <v>114</v>
      </c>
      <c r="D14" s="406"/>
      <c r="E14" s="191"/>
      <c r="F14" s="191"/>
      <c r="G14" s="191"/>
      <c r="H14" s="191"/>
      <c r="I14" s="191"/>
      <c r="J14" s="1259" t="e">
        <f>H14/F14</f>
        <v>#DIV/0!</v>
      </c>
      <c r="K14" s="245"/>
      <c r="L14" s="406"/>
      <c r="M14" s="191"/>
      <c r="N14" s="191"/>
      <c r="O14" s="191"/>
      <c r="P14" s="191"/>
      <c r="Q14" s="191"/>
      <c r="R14" s="658" t="e">
        <f>P14/N14</f>
        <v>#DIV/0!</v>
      </c>
      <c r="S14" s="406"/>
      <c r="T14" s="191"/>
      <c r="U14" s="191"/>
      <c r="V14" s="1693"/>
      <c r="W14" s="1693"/>
      <c r="X14" s="1703"/>
      <c r="Y14" s="406"/>
      <c r="Z14" s="191"/>
      <c r="AA14" s="191"/>
      <c r="AB14" s="191"/>
      <c r="AC14" s="191"/>
      <c r="AD14" s="191"/>
      <c r="AE14" s="191"/>
      <c r="AF14" s="245"/>
      <c r="AG14" s="992"/>
    </row>
    <row r="15" spans="1:33" s="129" customFormat="1" ht="12" customHeight="1" thickBot="1">
      <c r="A15" s="121" t="s">
        <v>27</v>
      </c>
      <c r="B15" s="127"/>
      <c r="C15" s="438" t="s">
        <v>115</v>
      </c>
      <c r="D15" s="405">
        <f aca="true" t="shared" si="1" ref="D15:I15">SUM(D16:D19)</f>
        <v>0</v>
      </c>
      <c r="E15" s="181">
        <f>SUM(E16:E19)</f>
        <v>0</v>
      </c>
      <c r="F15" s="181">
        <f>SUM(F16:F19)</f>
        <v>0</v>
      </c>
      <c r="G15" s="181">
        <f>SUM(G16:G19)</f>
        <v>0</v>
      </c>
      <c r="H15" s="181">
        <f t="shared" si="1"/>
        <v>0</v>
      </c>
      <c r="I15" s="181">
        <f t="shared" si="1"/>
        <v>0</v>
      </c>
      <c r="J15" s="1260"/>
      <c r="K15" s="128">
        <f aca="true" t="shared" si="2" ref="K15:Q15">SUM(K16:K19)</f>
        <v>0</v>
      </c>
      <c r="L15" s="405">
        <f t="shared" si="2"/>
        <v>0</v>
      </c>
      <c r="M15" s="181">
        <f>SUM(M16:M19)</f>
        <v>0</v>
      </c>
      <c r="N15" s="181">
        <f>SUM(N16:N19)</f>
        <v>0</v>
      </c>
      <c r="O15" s="181">
        <f>SUM(O16:O19)</f>
        <v>0</v>
      </c>
      <c r="P15" s="181">
        <f t="shared" si="2"/>
        <v>0</v>
      </c>
      <c r="Q15" s="181">
        <f t="shared" si="2"/>
        <v>0</v>
      </c>
      <c r="R15" s="337"/>
      <c r="S15" s="405"/>
      <c r="T15" s="181"/>
      <c r="U15" s="181"/>
      <c r="V15" s="1688"/>
      <c r="W15" s="1688"/>
      <c r="X15" s="128"/>
      <c r="Y15" s="405"/>
      <c r="Z15" s="181"/>
      <c r="AA15" s="181"/>
      <c r="AB15" s="181"/>
      <c r="AC15" s="181"/>
      <c r="AD15" s="181"/>
      <c r="AE15" s="181"/>
      <c r="AF15" s="128"/>
      <c r="AG15" s="240"/>
    </row>
    <row r="16" spans="1:33" s="134" customFormat="1" ht="12" customHeight="1">
      <c r="A16" s="132"/>
      <c r="B16" s="131" t="s">
        <v>38</v>
      </c>
      <c r="C16" s="417" t="s">
        <v>71</v>
      </c>
      <c r="D16" s="407"/>
      <c r="E16" s="182"/>
      <c r="F16" s="182"/>
      <c r="G16" s="182"/>
      <c r="H16" s="182"/>
      <c r="I16" s="182"/>
      <c r="J16" s="1261"/>
      <c r="K16" s="133"/>
      <c r="L16" s="407"/>
      <c r="M16" s="182"/>
      <c r="N16" s="182"/>
      <c r="O16" s="182"/>
      <c r="P16" s="182"/>
      <c r="Q16" s="182"/>
      <c r="R16" s="659"/>
      <c r="S16" s="407"/>
      <c r="T16" s="182"/>
      <c r="U16" s="182"/>
      <c r="V16" s="1694"/>
      <c r="W16" s="1694"/>
      <c r="X16" s="241"/>
      <c r="Y16" s="407"/>
      <c r="Z16" s="182"/>
      <c r="AA16" s="182"/>
      <c r="AB16" s="182"/>
      <c r="AC16" s="182"/>
      <c r="AD16" s="182"/>
      <c r="AE16" s="182"/>
      <c r="AF16" s="133"/>
      <c r="AG16" s="682"/>
    </row>
    <row r="17" spans="1:33" s="134" customFormat="1" ht="12" customHeight="1">
      <c r="A17" s="132"/>
      <c r="B17" s="131" t="s">
        <v>39</v>
      </c>
      <c r="C17" s="418" t="s">
        <v>118</v>
      </c>
      <c r="D17" s="407"/>
      <c r="E17" s="182"/>
      <c r="F17" s="182"/>
      <c r="G17" s="182"/>
      <c r="H17" s="182"/>
      <c r="I17" s="182"/>
      <c r="J17" s="1261"/>
      <c r="K17" s="133"/>
      <c r="L17" s="407"/>
      <c r="M17" s="182"/>
      <c r="N17" s="182"/>
      <c r="O17" s="182"/>
      <c r="P17" s="182"/>
      <c r="Q17" s="182"/>
      <c r="R17" s="659"/>
      <c r="S17" s="407"/>
      <c r="T17" s="182"/>
      <c r="U17" s="182"/>
      <c r="V17" s="1694"/>
      <c r="W17" s="1694"/>
      <c r="X17" s="133"/>
      <c r="Y17" s="407"/>
      <c r="Z17" s="182"/>
      <c r="AA17" s="182"/>
      <c r="AB17" s="182"/>
      <c r="AC17" s="182"/>
      <c r="AD17" s="182"/>
      <c r="AE17" s="182"/>
      <c r="AF17" s="133"/>
      <c r="AG17" s="682"/>
    </row>
    <row r="18" spans="1:33" s="134" customFormat="1" ht="12" customHeight="1">
      <c r="A18" s="132"/>
      <c r="B18" s="131" t="s">
        <v>40</v>
      </c>
      <c r="C18" s="418" t="s">
        <v>72</v>
      </c>
      <c r="D18" s="407"/>
      <c r="E18" s="182"/>
      <c r="F18" s="182"/>
      <c r="G18" s="182"/>
      <c r="H18" s="182"/>
      <c r="I18" s="182"/>
      <c r="J18" s="1261"/>
      <c r="K18" s="133"/>
      <c r="L18" s="407"/>
      <c r="M18" s="182"/>
      <c r="N18" s="182"/>
      <c r="O18" s="182"/>
      <c r="P18" s="182"/>
      <c r="Q18" s="182"/>
      <c r="R18" s="659"/>
      <c r="S18" s="407"/>
      <c r="T18" s="182"/>
      <c r="U18" s="182"/>
      <c r="V18" s="1694"/>
      <c r="W18" s="1694"/>
      <c r="X18" s="133"/>
      <c r="Y18" s="407"/>
      <c r="Z18" s="182"/>
      <c r="AA18" s="182"/>
      <c r="AB18" s="182"/>
      <c r="AC18" s="182"/>
      <c r="AD18" s="182"/>
      <c r="AE18" s="182"/>
      <c r="AF18" s="133"/>
      <c r="AG18" s="682"/>
    </row>
    <row r="19" spans="1:33" s="134" customFormat="1" ht="12" customHeight="1" thickBot="1">
      <c r="A19" s="132"/>
      <c r="B19" s="131" t="s">
        <v>261</v>
      </c>
      <c r="C19" s="418" t="s">
        <v>118</v>
      </c>
      <c r="D19" s="407"/>
      <c r="E19" s="182"/>
      <c r="F19" s="182"/>
      <c r="G19" s="182"/>
      <c r="H19" s="182"/>
      <c r="I19" s="182"/>
      <c r="J19" s="1261"/>
      <c r="K19" s="133"/>
      <c r="L19" s="407"/>
      <c r="M19" s="182"/>
      <c r="N19" s="182"/>
      <c r="O19" s="182"/>
      <c r="P19" s="182"/>
      <c r="Q19" s="182"/>
      <c r="R19" s="659"/>
      <c r="S19" s="407"/>
      <c r="T19" s="182"/>
      <c r="U19" s="182"/>
      <c r="V19" s="1694"/>
      <c r="W19" s="1694"/>
      <c r="X19" s="1704"/>
      <c r="Y19" s="407"/>
      <c r="Z19" s="182"/>
      <c r="AA19" s="182"/>
      <c r="AB19" s="182"/>
      <c r="AC19" s="182"/>
      <c r="AD19" s="182"/>
      <c r="AE19" s="182"/>
      <c r="AF19" s="133"/>
      <c r="AG19" s="682"/>
    </row>
    <row r="20" spans="1:33" s="134" customFormat="1" ht="12" customHeight="1" thickBot="1">
      <c r="A20" s="136" t="s">
        <v>9</v>
      </c>
      <c r="B20" s="137"/>
      <c r="C20" s="416" t="s">
        <v>121</v>
      </c>
      <c r="D20" s="405">
        <f>SUM(D21:D22)</f>
        <v>0</v>
      </c>
      <c r="E20" s="181">
        <f>SUM(E21:E22)</f>
        <v>0</v>
      </c>
      <c r="F20" s="181">
        <f>SUM(F21:F22)</f>
        <v>0</v>
      </c>
      <c r="G20" s="181">
        <f>SUM(G21:G22)</f>
        <v>0</v>
      </c>
      <c r="H20" s="181">
        <f>SUM(H21:H22)</f>
        <v>0</v>
      </c>
      <c r="I20" s="181"/>
      <c r="J20" s="1260"/>
      <c r="K20" s="128"/>
      <c r="L20" s="405">
        <f>SUM(L21:L22)</f>
        <v>0</v>
      </c>
      <c r="M20" s="181">
        <f>SUM(M21:M22)</f>
        <v>0</v>
      </c>
      <c r="N20" s="181">
        <f>SUM(N21:N22)</f>
        <v>0</v>
      </c>
      <c r="O20" s="181">
        <f>SUM(O21:O22)</f>
        <v>0</v>
      </c>
      <c r="P20" s="181">
        <f>SUM(P21:P22)</f>
        <v>0</v>
      </c>
      <c r="Q20" s="181"/>
      <c r="R20" s="337"/>
      <c r="S20" s="405"/>
      <c r="T20" s="181"/>
      <c r="U20" s="181"/>
      <c r="V20" s="1688"/>
      <c r="W20" s="1688"/>
      <c r="X20" s="128"/>
      <c r="Y20" s="405"/>
      <c r="Z20" s="181"/>
      <c r="AA20" s="181"/>
      <c r="AB20" s="181"/>
      <c r="AC20" s="181"/>
      <c r="AD20" s="181"/>
      <c r="AE20" s="181"/>
      <c r="AF20" s="128"/>
      <c r="AG20" s="240"/>
    </row>
    <row r="21" spans="1:33" s="129" customFormat="1" ht="12" customHeight="1">
      <c r="A21" s="138"/>
      <c r="B21" s="139" t="s">
        <v>41</v>
      </c>
      <c r="C21" s="439" t="s">
        <v>123</v>
      </c>
      <c r="D21" s="408"/>
      <c r="E21" s="183"/>
      <c r="F21" s="183"/>
      <c r="G21" s="183"/>
      <c r="H21" s="183"/>
      <c r="I21" s="183"/>
      <c r="J21" s="1262"/>
      <c r="K21" s="140"/>
      <c r="L21" s="408"/>
      <c r="M21" s="183"/>
      <c r="N21" s="183"/>
      <c r="O21" s="183"/>
      <c r="P21" s="183"/>
      <c r="Q21" s="183"/>
      <c r="R21" s="660"/>
      <c r="S21" s="408"/>
      <c r="T21" s="183"/>
      <c r="U21" s="183"/>
      <c r="V21" s="1695"/>
      <c r="W21" s="1695"/>
      <c r="X21" s="1268"/>
      <c r="Y21" s="408"/>
      <c r="Z21" s="183"/>
      <c r="AA21" s="183"/>
      <c r="AB21" s="183"/>
      <c r="AC21" s="183"/>
      <c r="AD21" s="183"/>
      <c r="AE21" s="183"/>
      <c r="AF21" s="140"/>
      <c r="AG21" s="683"/>
    </row>
    <row r="22" spans="1:33" s="129" customFormat="1" ht="12" customHeight="1" thickBot="1">
      <c r="A22" s="141"/>
      <c r="B22" s="142" t="s">
        <v>42</v>
      </c>
      <c r="C22" s="440" t="s">
        <v>125</v>
      </c>
      <c r="D22" s="409"/>
      <c r="E22" s="184"/>
      <c r="F22" s="184"/>
      <c r="G22" s="184"/>
      <c r="H22" s="184"/>
      <c r="I22" s="184"/>
      <c r="J22" s="1263"/>
      <c r="K22" s="143"/>
      <c r="L22" s="409"/>
      <c r="M22" s="184"/>
      <c r="N22" s="184"/>
      <c r="O22" s="184"/>
      <c r="P22" s="184"/>
      <c r="Q22" s="184"/>
      <c r="R22" s="661"/>
      <c r="S22" s="409"/>
      <c r="T22" s="184"/>
      <c r="U22" s="184"/>
      <c r="V22" s="1696"/>
      <c r="W22" s="1696"/>
      <c r="X22" s="171"/>
      <c r="Y22" s="409"/>
      <c r="Z22" s="184"/>
      <c r="AA22" s="184"/>
      <c r="AB22" s="184"/>
      <c r="AC22" s="184"/>
      <c r="AD22" s="184"/>
      <c r="AE22" s="184"/>
      <c r="AF22" s="143"/>
      <c r="AG22" s="684"/>
    </row>
    <row r="23" spans="1:33" s="129" customFormat="1" ht="12" customHeight="1" hidden="1" thickBot="1">
      <c r="A23" s="136" t="s">
        <v>10</v>
      </c>
      <c r="B23" s="127"/>
      <c r="D23" s="410"/>
      <c r="E23" s="185"/>
      <c r="F23" s="185"/>
      <c r="G23" s="185"/>
      <c r="H23" s="185"/>
      <c r="I23" s="185"/>
      <c r="J23" s="1264" t="e">
        <f>H23/F23</f>
        <v>#DIV/0!</v>
      </c>
      <c r="K23" s="144"/>
      <c r="L23" s="410"/>
      <c r="M23" s="185"/>
      <c r="N23" s="185"/>
      <c r="O23" s="185"/>
      <c r="P23" s="185"/>
      <c r="Q23" s="185"/>
      <c r="R23" s="662" t="e">
        <f>P23/N23</f>
        <v>#DIV/0!</v>
      </c>
      <c r="S23" s="410"/>
      <c r="T23" s="185"/>
      <c r="U23" s="185"/>
      <c r="V23" s="1697"/>
      <c r="W23" s="1697"/>
      <c r="X23" s="1703"/>
      <c r="Y23" s="410"/>
      <c r="Z23" s="185"/>
      <c r="AA23" s="185"/>
      <c r="AB23" s="185"/>
      <c r="AC23" s="185"/>
      <c r="AD23" s="185"/>
      <c r="AE23" s="185"/>
      <c r="AF23" s="144"/>
      <c r="AG23" s="237"/>
    </row>
    <row r="24" spans="1:33" s="129" customFormat="1" ht="12" customHeight="1" thickBot="1">
      <c r="A24" s="121" t="s">
        <v>10</v>
      </c>
      <c r="B24" s="145"/>
      <c r="C24" s="416" t="s">
        <v>127</v>
      </c>
      <c r="D24" s="405">
        <f aca="true" t="shared" si="3" ref="D24:Q24">D9+D14+D15+D20+D23</f>
        <v>50100</v>
      </c>
      <c r="E24" s="181">
        <f t="shared" si="3"/>
        <v>50100</v>
      </c>
      <c r="F24" s="181">
        <f>F9+F14+F15+F20+F23</f>
        <v>50100</v>
      </c>
      <c r="G24" s="181">
        <f>G9+G14+G15+G20+G23</f>
        <v>175623</v>
      </c>
      <c r="H24" s="181">
        <f t="shared" si="3"/>
        <v>175538</v>
      </c>
      <c r="I24" s="181">
        <f t="shared" si="3"/>
        <v>0</v>
      </c>
      <c r="J24" s="1260">
        <f>SUM(H24/G24)</f>
        <v>0.999516008723231</v>
      </c>
      <c r="K24" s="128">
        <f t="shared" si="3"/>
        <v>0</v>
      </c>
      <c r="L24" s="405">
        <f t="shared" si="3"/>
        <v>50100</v>
      </c>
      <c r="M24" s="181">
        <f t="shared" si="3"/>
        <v>50100</v>
      </c>
      <c r="N24" s="181">
        <f>N9+N14+N15+N20+N23</f>
        <v>50100</v>
      </c>
      <c r="O24" s="181">
        <f>O9+O14+O15+O20+O23</f>
        <v>175623</v>
      </c>
      <c r="P24" s="181">
        <f t="shared" si="3"/>
        <v>0</v>
      </c>
      <c r="Q24" s="181">
        <f t="shared" si="3"/>
        <v>175538</v>
      </c>
      <c r="R24" s="1730">
        <f>SUM(Q24/O24)</f>
        <v>0.999516008723231</v>
      </c>
      <c r="S24" s="405"/>
      <c r="T24" s="181"/>
      <c r="U24" s="181"/>
      <c r="V24" s="1688"/>
      <c r="W24" s="1688"/>
      <c r="X24" s="128"/>
      <c r="Y24" s="405"/>
      <c r="Z24" s="181"/>
      <c r="AA24" s="181"/>
      <c r="AB24" s="181"/>
      <c r="AC24" s="181"/>
      <c r="AD24" s="181"/>
      <c r="AE24" s="181"/>
      <c r="AF24" s="128"/>
      <c r="AG24" s="240"/>
    </row>
    <row r="25" spans="1:33" s="134" customFormat="1" ht="12" customHeight="1" thickBot="1">
      <c r="A25" s="146" t="s">
        <v>11</v>
      </c>
      <c r="B25" s="147"/>
      <c r="C25" s="441" t="s">
        <v>128</v>
      </c>
      <c r="D25" s="411">
        <f aca="true" t="shared" si="4" ref="D25:I25">SUM(D26:D28)</f>
        <v>112193156</v>
      </c>
      <c r="E25" s="186">
        <f>SUM(E26:E28)</f>
        <v>112193156</v>
      </c>
      <c r="F25" s="186">
        <f>SUM(F26:F28)</f>
        <v>112193156</v>
      </c>
      <c r="G25" s="186">
        <f>SUM(G26:G28)</f>
        <v>108080717</v>
      </c>
      <c r="H25" s="186">
        <f t="shared" si="4"/>
        <v>108080717</v>
      </c>
      <c r="I25" s="186">
        <f t="shared" si="4"/>
        <v>0</v>
      </c>
      <c r="J25" s="1720">
        <f>SUM(H25/G25)</f>
        <v>1</v>
      </c>
      <c r="K25" s="536">
        <f aca="true" t="shared" si="5" ref="K25:U25">SUM(K26:K28)</f>
        <v>0</v>
      </c>
      <c r="L25" s="411">
        <f t="shared" si="5"/>
        <v>110754273</v>
      </c>
      <c r="M25" s="186">
        <f t="shared" si="5"/>
        <v>110754273</v>
      </c>
      <c r="N25" s="186">
        <f t="shared" si="5"/>
        <v>110754273</v>
      </c>
      <c r="O25" s="186">
        <f>SUM(O26:O28)</f>
        <v>106526344</v>
      </c>
      <c r="P25" s="186">
        <f t="shared" si="5"/>
        <v>0</v>
      </c>
      <c r="Q25" s="186">
        <f t="shared" si="5"/>
        <v>106526344</v>
      </c>
      <c r="R25" s="337">
        <f>SUM(Q25/O25)</f>
        <v>1</v>
      </c>
      <c r="S25" s="411">
        <f t="shared" si="5"/>
        <v>1438883</v>
      </c>
      <c r="T25" s="186">
        <f t="shared" si="5"/>
        <v>1438883</v>
      </c>
      <c r="U25" s="186">
        <f t="shared" si="5"/>
        <v>1438883</v>
      </c>
      <c r="V25" s="1698">
        <f>SUM(V26:V28)</f>
        <v>1554373</v>
      </c>
      <c r="W25" s="1698">
        <f>SUM(W26:W28)</f>
        <v>1554373</v>
      </c>
      <c r="X25" s="1721">
        <f>SUM(W25/V25)</f>
        <v>1</v>
      </c>
      <c r="Y25" s="411">
        <f aca="true" t="shared" si="6" ref="Y25:AD25">SUM(Y26:Y28)</f>
        <v>0</v>
      </c>
      <c r="Z25" s="186">
        <f>SUM(Z26:Z28)</f>
        <v>7923383</v>
      </c>
      <c r="AA25" s="186">
        <f>SUM(AA26:AA28)</f>
        <v>7923383</v>
      </c>
      <c r="AB25" s="186">
        <f>SUM(AB26:AB28)</f>
        <v>0</v>
      </c>
      <c r="AC25" s="186">
        <f t="shared" si="6"/>
        <v>0</v>
      </c>
      <c r="AD25" s="186">
        <f t="shared" si="6"/>
        <v>0</v>
      </c>
      <c r="AE25" s="181"/>
      <c r="AF25" s="128"/>
      <c r="AG25" s="240"/>
    </row>
    <row r="26" spans="1:33" s="134" customFormat="1" ht="15" customHeight="1" thickBot="1">
      <c r="A26" s="130"/>
      <c r="B26" s="148" t="s">
        <v>43</v>
      </c>
      <c r="C26" s="439" t="s">
        <v>130</v>
      </c>
      <c r="D26" s="408">
        <v>2080753</v>
      </c>
      <c r="E26" s="183">
        <v>2080753</v>
      </c>
      <c r="F26" s="183">
        <v>2080753</v>
      </c>
      <c r="G26" s="183">
        <v>2081317</v>
      </c>
      <c r="H26" s="183">
        <v>2081317</v>
      </c>
      <c r="I26" s="183"/>
      <c r="J26" s="1257">
        <f>SUM(H26/G26)</f>
        <v>1</v>
      </c>
      <c r="K26" s="140"/>
      <c r="L26" s="408">
        <f aca="true" t="shared" si="7" ref="L26:O27">+D26-S26</f>
        <v>2080753</v>
      </c>
      <c r="M26" s="183">
        <f t="shared" si="7"/>
        <v>2080753</v>
      </c>
      <c r="N26" s="183">
        <f t="shared" si="7"/>
        <v>2080753</v>
      </c>
      <c r="O26" s="183">
        <v>2081317</v>
      </c>
      <c r="P26" s="183"/>
      <c r="Q26" s="183">
        <v>2081317</v>
      </c>
      <c r="R26" s="1257">
        <f>SUM(Q26/O26)</f>
        <v>1</v>
      </c>
      <c r="S26" s="408"/>
      <c r="T26" s="183"/>
      <c r="U26" s="183"/>
      <c r="V26" s="1695"/>
      <c r="W26" s="1695"/>
      <c r="X26" s="544"/>
      <c r="Y26" s="408"/>
      <c r="Z26" s="183"/>
      <c r="AA26" s="183"/>
      <c r="AB26" s="183"/>
      <c r="AC26" s="183"/>
      <c r="AD26" s="183"/>
      <c r="AE26" s="415"/>
      <c r="AF26" s="241"/>
      <c r="AG26" s="1255"/>
    </row>
    <row r="27" spans="1:33" s="134" customFormat="1" ht="15" customHeight="1">
      <c r="A27" s="537"/>
      <c r="B27" s="538" t="s">
        <v>44</v>
      </c>
      <c r="C27" s="439" t="s">
        <v>444</v>
      </c>
      <c r="D27" s="539">
        <v>110112403</v>
      </c>
      <c r="E27" s="540">
        <v>110112403</v>
      </c>
      <c r="F27" s="540">
        <v>110112403</v>
      </c>
      <c r="G27" s="540">
        <v>105999400</v>
      </c>
      <c r="H27" s="540">
        <v>105999400</v>
      </c>
      <c r="I27" s="540"/>
      <c r="J27" s="1257">
        <f>SUM(H27/G27)</f>
        <v>1</v>
      </c>
      <c r="K27" s="544"/>
      <c r="L27" s="423">
        <f t="shared" si="7"/>
        <v>108673520</v>
      </c>
      <c r="M27" s="189">
        <f t="shared" si="7"/>
        <v>108673520</v>
      </c>
      <c r="N27" s="189">
        <f t="shared" si="7"/>
        <v>108673520</v>
      </c>
      <c r="O27" s="189">
        <f t="shared" si="7"/>
        <v>104445027</v>
      </c>
      <c r="P27" s="540"/>
      <c r="Q27" s="540">
        <v>104445027</v>
      </c>
      <c r="R27" s="1257">
        <f>SUM(Q27/O27)</f>
        <v>1</v>
      </c>
      <c r="S27" s="539">
        <v>1438883</v>
      </c>
      <c r="T27" s="540">
        <v>1438883</v>
      </c>
      <c r="U27" s="540">
        <v>1438883</v>
      </c>
      <c r="V27" s="1699">
        <v>1554373</v>
      </c>
      <c r="W27" s="1699">
        <v>1554373</v>
      </c>
      <c r="X27" s="1722">
        <f>SUM(W27/V27)</f>
        <v>1</v>
      </c>
      <c r="Y27" s="541"/>
      <c r="Z27" s="542">
        <v>7923383</v>
      </c>
      <c r="AA27" s="542">
        <v>7923383</v>
      </c>
      <c r="AB27" s="542"/>
      <c r="AC27" s="542"/>
      <c r="AD27" s="542"/>
      <c r="AE27" s="542"/>
      <c r="AF27" s="543"/>
      <c r="AG27" s="993"/>
    </row>
    <row r="28" spans="1:33" s="134" customFormat="1" ht="15" customHeight="1" thickBot="1">
      <c r="A28" s="149"/>
      <c r="B28" s="150" t="s">
        <v>70</v>
      </c>
      <c r="C28" s="442" t="s">
        <v>132</v>
      </c>
      <c r="D28" s="412"/>
      <c r="E28" s="187"/>
      <c r="F28" s="187"/>
      <c r="G28" s="187"/>
      <c r="H28" s="187"/>
      <c r="I28" s="187"/>
      <c r="J28" s="1265"/>
      <c r="K28" s="151"/>
      <c r="L28" s="412"/>
      <c r="M28" s="187"/>
      <c r="N28" s="187"/>
      <c r="O28" s="187"/>
      <c r="P28" s="187"/>
      <c r="Q28" s="187"/>
      <c r="R28" s="663"/>
      <c r="S28" s="412"/>
      <c r="T28" s="187"/>
      <c r="U28" s="187"/>
      <c r="V28" s="1700"/>
      <c r="W28" s="1700"/>
      <c r="X28" s="1268"/>
      <c r="Y28" s="412"/>
      <c r="Z28" s="187"/>
      <c r="AA28" s="187"/>
      <c r="AB28" s="187"/>
      <c r="AC28" s="187"/>
      <c r="AD28" s="187"/>
      <c r="AE28" s="187"/>
      <c r="AF28" s="151"/>
      <c r="AG28" s="685"/>
    </row>
    <row r="29" spans="1:33" ht="13.5" hidden="1" thickBot="1">
      <c r="A29" s="152" t="s">
        <v>12</v>
      </c>
      <c r="B29" s="153"/>
      <c r="C29" s="420" t="s">
        <v>133</v>
      </c>
      <c r="D29" s="410"/>
      <c r="E29" s="185"/>
      <c r="F29" s="185"/>
      <c r="G29" s="185"/>
      <c r="H29" s="185"/>
      <c r="I29" s="185"/>
      <c r="J29" s="1264" t="e">
        <f>H29/F29</f>
        <v>#DIV/0!</v>
      </c>
      <c r="K29" s="144"/>
      <c r="L29" s="410"/>
      <c r="M29" s="185"/>
      <c r="N29" s="185"/>
      <c r="O29" s="185"/>
      <c r="P29" s="185"/>
      <c r="Q29" s="185"/>
      <c r="R29" s="662" t="e">
        <f>P29/N29</f>
        <v>#DIV/0!</v>
      </c>
      <c r="S29" s="410"/>
      <c r="T29" s="185"/>
      <c r="U29" s="185"/>
      <c r="V29" s="1697"/>
      <c r="W29" s="1697"/>
      <c r="X29" s="1703"/>
      <c r="Y29" s="410"/>
      <c r="Z29" s="185"/>
      <c r="AA29" s="185"/>
      <c r="AB29" s="185"/>
      <c r="AC29" s="185"/>
      <c r="AD29" s="185"/>
      <c r="AE29" s="185"/>
      <c r="AF29" s="144"/>
      <c r="AG29" s="237"/>
    </row>
    <row r="30" spans="1:33" s="124" customFormat="1" ht="16.5" customHeight="1" thickBot="1">
      <c r="A30" s="152" t="s">
        <v>12</v>
      </c>
      <c r="B30" s="154"/>
      <c r="C30" s="1252" t="s">
        <v>264</v>
      </c>
      <c r="D30" s="413">
        <f aca="true" t="shared" si="8" ref="D30:I30">D24+D29+D25</f>
        <v>112243256</v>
      </c>
      <c r="E30" s="188">
        <f>E24+E29+E25</f>
        <v>112243256</v>
      </c>
      <c r="F30" s="188">
        <f>F24+F29+F25</f>
        <v>112243256</v>
      </c>
      <c r="G30" s="188">
        <f>G24+G29+G25</f>
        <v>108256340</v>
      </c>
      <c r="H30" s="188">
        <f t="shared" si="8"/>
        <v>108256255</v>
      </c>
      <c r="I30" s="188">
        <f t="shared" si="8"/>
        <v>0</v>
      </c>
      <c r="J30" s="1260">
        <f>SUM(H30/G30)</f>
        <v>0.9999992148265866</v>
      </c>
      <c r="K30" s="173">
        <f aca="true" t="shared" si="9" ref="K30:U30">K24+K29+K25</f>
        <v>0</v>
      </c>
      <c r="L30" s="413">
        <f t="shared" si="9"/>
        <v>110804373</v>
      </c>
      <c r="M30" s="188">
        <f t="shared" si="9"/>
        <v>110804373</v>
      </c>
      <c r="N30" s="188">
        <f t="shared" si="9"/>
        <v>110804373</v>
      </c>
      <c r="O30" s="1685">
        <f>O24+O29+O25</f>
        <v>106701967</v>
      </c>
      <c r="P30" s="188">
        <f t="shared" si="9"/>
        <v>0</v>
      </c>
      <c r="Q30" s="1706">
        <f t="shared" si="9"/>
        <v>106701882</v>
      </c>
      <c r="R30" s="337">
        <f>SUM(Q30/O30)</f>
        <v>0.999999203388631</v>
      </c>
      <c r="S30" s="413">
        <f t="shared" si="9"/>
        <v>1438883</v>
      </c>
      <c r="T30" s="188">
        <f t="shared" si="9"/>
        <v>1438883</v>
      </c>
      <c r="U30" s="188">
        <f t="shared" si="9"/>
        <v>1438883</v>
      </c>
      <c r="V30" s="1701">
        <f>V24+V29+V25</f>
        <v>1554373</v>
      </c>
      <c r="W30" s="1705">
        <f>W24+W29+W25</f>
        <v>1554373</v>
      </c>
      <c r="X30" s="1721">
        <f>SUM(W30/V30)</f>
        <v>1</v>
      </c>
      <c r="Y30" s="413">
        <f aca="true" t="shared" si="10" ref="Y30:AD30">Y24+Y29+Y25</f>
        <v>0</v>
      </c>
      <c r="Z30" s="188">
        <f>Z24+Z29+Z25</f>
        <v>7923383</v>
      </c>
      <c r="AA30" s="188">
        <f>AA24+AA29+AA25</f>
        <v>7923383</v>
      </c>
      <c r="AB30" s="1685">
        <f>AB24+AB29+AB25</f>
        <v>0</v>
      </c>
      <c r="AC30" s="188">
        <f t="shared" si="10"/>
        <v>0</v>
      </c>
      <c r="AD30" s="188">
        <f t="shared" si="10"/>
        <v>0</v>
      </c>
      <c r="AE30" s="188"/>
      <c r="AF30" s="173"/>
      <c r="AG30" s="242"/>
    </row>
    <row r="31" spans="1:26" s="159" customFormat="1" ht="12" customHeight="1">
      <c r="A31" s="156"/>
      <c r="B31" s="156"/>
      <c r="C31" s="157"/>
      <c r="D31" s="158"/>
      <c r="E31" s="158"/>
      <c r="F31" s="158"/>
      <c r="G31" s="158">
        <f>SUM(O30+V30+AB30)</f>
        <v>108256340</v>
      </c>
      <c r="H31" s="1707">
        <f>SUM(Q30+W30)</f>
        <v>108256255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ht="12" customHeight="1" thickBot="1">
      <c r="A32" s="160"/>
      <c r="B32" s="161"/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32" ht="12" customHeight="1" thickBot="1">
      <c r="A33" s="163"/>
      <c r="B33" s="164"/>
      <c r="C33" s="165" t="s">
        <v>135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413"/>
      <c r="Z33" s="413"/>
      <c r="AA33" s="188"/>
      <c r="AB33" s="188"/>
      <c r="AC33" s="188"/>
      <c r="AD33" s="750"/>
      <c r="AE33" s="173"/>
      <c r="AF33" s="155"/>
    </row>
    <row r="34" spans="1:33" ht="12" customHeight="1" thickBot="1">
      <c r="A34" s="136" t="s">
        <v>26</v>
      </c>
      <c r="B34" s="166"/>
      <c r="C34" s="416" t="s">
        <v>136</v>
      </c>
      <c r="D34" s="405">
        <f aca="true" t="shared" si="11" ref="D34:I34">SUM(D35:D39)</f>
        <v>111354256</v>
      </c>
      <c r="E34" s="181">
        <f>SUM(E35:E39)</f>
        <v>111354256</v>
      </c>
      <c r="F34" s="181">
        <f>SUM(F35:F39)</f>
        <v>111354256</v>
      </c>
      <c r="G34" s="128">
        <f>SUM(G35:G39)</f>
        <v>107740230</v>
      </c>
      <c r="H34" s="405">
        <f t="shared" si="11"/>
        <v>106485979</v>
      </c>
      <c r="I34" s="405">
        <f t="shared" si="11"/>
        <v>0</v>
      </c>
      <c r="J34" s="1260">
        <f>SUM(H34/G34)</f>
        <v>0.9883585639273278</v>
      </c>
      <c r="K34" s="399">
        <f aca="true" t="shared" si="12" ref="K34:U34">SUM(K35:K39)</f>
        <v>0</v>
      </c>
      <c r="L34" s="405">
        <f t="shared" si="12"/>
        <v>109915373</v>
      </c>
      <c r="M34" s="181">
        <f t="shared" si="12"/>
        <v>109915373</v>
      </c>
      <c r="N34" s="181">
        <f t="shared" si="12"/>
        <v>109915373</v>
      </c>
      <c r="O34" s="128">
        <f>SUM(O35:O39)</f>
        <v>106185857</v>
      </c>
      <c r="P34" s="405">
        <f t="shared" si="12"/>
        <v>0</v>
      </c>
      <c r="Q34" s="405">
        <f t="shared" si="12"/>
        <v>104931606</v>
      </c>
      <c r="R34" s="337">
        <f>SUM(Q34/O34)</f>
        <v>0.9881881539082931</v>
      </c>
      <c r="S34" s="405">
        <f t="shared" si="12"/>
        <v>1438883</v>
      </c>
      <c r="T34" s="181">
        <f t="shared" si="12"/>
        <v>1438883</v>
      </c>
      <c r="U34" s="181">
        <f t="shared" si="12"/>
        <v>1438883</v>
      </c>
      <c r="V34" s="1688">
        <f>SUM(V35:V39)</f>
        <v>1554373</v>
      </c>
      <c r="W34" s="1688">
        <f>SUM(W35:W39)</f>
        <v>1554373</v>
      </c>
      <c r="X34" s="1721">
        <f>SUM(W34/V34)</f>
        <v>1</v>
      </c>
      <c r="Y34" s="405">
        <f aca="true" t="shared" si="13" ref="Y34:AD34">SUM(Y35:Y39)</f>
        <v>0</v>
      </c>
      <c r="Z34" s="181">
        <f>SUM(Z35:Z39)</f>
        <v>0</v>
      </c>
      <c r="AA34" s="181">
        <f>SUM(AA35:AA39)</f>
        <v>0</v>
      </c>
      <c r="AB34" s="128">
        <f>SUM(AB35:AB39)</f>
        <v>0</v>
      </c>
      <c r="AC34" s="405">
        <f t="shared" si="13"/>
        <v>5610894</v>
      </c>
      <c r="AD34" s="405">
        <f t="shared" si="13"/>
        <v>0</v>
      </c>
      <c r="AE34" s="337">
        <f>AD34/AC34</f>
        <v>0</v>
      </c>
      <c r="AF34" s="428"/>
      <c r="AG34" s="128">
        <f>SUM(AG35:AG39)</f>
        <v>0</v>
      </c>
    </row>
    <row r="35" spans="1:33" ht="12" customHeight="1">
      <c r="A35" s="167"/>
      <c r="B35" s="168" t="s">
        <v>110</v>
      </c>
      <c r="C35" s="417" t="s">
        <v>137</v>
      </c>
      <c r="D35" s="423">
        <v>81429324</v>
      </c>
      <c r="E35" s="189">
        <v>81429324</v>
      </c>
      <c r="F35" s="189">
        <v>81499657</v>
      </c>
      <c r="G35" s="1268">
        <v>80704993</v>
      </c>
      <c r="H35" s="423">
        <v>80498253</v>
      </c>
      <c r="I35" s="423"/>
      <c r="J35" s="1257">
        <f>SUM(H35/G35)</f>
        <v>0.9974383245408373</v>
      </c>
      <c r="K35" s="679"/>
      <c r="L35" s="423">
        <f aca="true" t="shared" si="14" ref="L35:O37">+D35-S35</f>
        <v>80163701</v>
      </c>
      <c r="M35" s="189">
        <f t="shared" si="14"/>
        <v>80163701</v>
      </c>
      <c r="N35" s="189">
        <f t="shared" si="14"/>
        <v>80234034</v>
      </c>
      <c r="O35" s="1268">
        <f t="shared" si="14"/>
        <v>79439370</v>
      </c>
      <c r="P35" s="423"/>
      <c r="Q35" s="423">
        <f>SUM(H35-W35)</f>
        <v>79232630</v>
      </c>
      <c r="R35" s="1257">
        <f>SUM(Q35/O35)</f>
        <v>0.997397512090038</v>
      </c>
      <c r="S35" s="423">
        <v>1265623</v>
      </c>
      <c r="T35" s="189">
        <v>1265623</v>
      </c>
      <c r="U35" s="189">
        <v>1265623</v>
      </c>
      <c r="V35" s="1710">
        <v>1265623</v>
      </c>
      <c r="W35" s="1710">
        <v>1265623</v>
      </c>
      <c r="X35" s="1722">
        <f>SUM(W35/V35)</f>
        <v>1</v>
      </c>
      <c r="Y35" s="407"/>
      <c r="Z35" s="182"/>
      <c r="AA35" s="182"/>
      <c r="AB35" s="133"/>
      <c r="AC35" s="407">
        <v>3626473</v>
      </c>
      <c r="AD35" s="407"/>
      <c r="AE35" s="681"/>
      <c r="AF35" s="429"/>
      <c r="AG35" s="133"/>
    </row>
    <row r="36" spans="1:33" ht="12" customHeight="1">
      <c r="A36" s="169"/>
      <c r="B36" s="170" t="s">
        <v>111</v>
      </c>
      <c r="C36" s="418" t="s">
        <v>50</v>
      </c>
      <c r="D36" s="424">
        <v>14692021</v>
      </c>
      <c r="E36" s="190">
        <v>14692021</v>
      </c>
      <c r="F36" s="190">
        <v>14621688</v>
      </c>
      <c r="G36" s="171">
        <v>13341852</v>
      </c>
      <c r="H36" s="424">
        <v>13258275</v>
      </c>
      <c r="I36" s="424"/>
      <c r="J36" s="1257">
        <f>SUM(H36/G36)</f>
        <v>0.9937357272438639</v>
      </c>
      <c r="K36" s="431"/>
      <c r="L36" s="423">
        <f t="shared" si="14"/>
        <v>14518761</v>
      </c>
      <c r="M36" s="189">
        <f t="shared" si="14"/>
        <v>14518761</v>
      </c>
      <c r="N36" s="189">
        <f t="shared" si="14"/>
        <v>14448428</v>
      </c>
      <c r="O36" s="1268">
        <f t="shared" si="14"/>
        <v>13053102</v>
      </c>
      <c r="P36" s="424"/>
      <c r="Q36" s="423">
        <f>SUM(H36-W36)</f>
        <v>12969525</v>
      </c>
      <c r="R36" s="1257">
        <f>SUM(Q36/O36)</f>
        <v>0.9935971541477268</v>
      </c>
      <c r="S36" s="424">
        <v>173260</v>
      </c>
      <c r="T36" s="190">
        <v>173260</v>
      </c>
      <c r="U36" s="190">
        <v>173260</v>
      </c>
      <c r="V36" s="1711">
        <v>288750</v>
      </c>
      <c r="W36" s="1711">
        <v>288750</v>
      </c>
      <c r="X36" s="1722">
        <f>SUM(W36/V36)</f>
        <v>1</v>
      </c>
      <c r="Y36" s="407"/>
      <c r="Z36" s="182"/>
      <c r="AA36" s="182"/>
      <c r="AB36" s="133"/>
      <c r="AC36" s="407">
        <v>799596</v>
      </c>
      <c r="AD36" s="407"/>
      <c r="AE36" s="681"/>
      <c r="AF36" s="429"/>
      <c r="AG36" s="133"/>
    </row>
    <row r="37" spans="1:33" ht="12" customHeight="1">
      <c r="A37" s="169"/>
      <c r="B37" s="170" t="s">
        <v>112</v>
      </c>
      <c r="C37" s="418" t="s">
        <v>138</v>
      </c>
      <c r="D37" s="424">
        <v>15232911</v>
      </c>
      <c r="E37" s="190">
        <v>15232911</v>
      </c>
      <c r="F37" s="190">
        <v>15232911</v>
      </c>
      <c r="G37" s="171">
        <v>13693385</v>
      </c>
      <c r="H37" s="424">
        <v>12729451</v>
      </c>
      <c r="I37" s="424"/>
      <c r="J37" s="1257">
        <f>SUM(H37/G37)</f>
        <v>0.9296058644374637</v>
      </c>
      <c r="K37" s="431"/>
      <c r="L37" s="423">
        <f t="shared" si="14"/>
        <v>15232911</v>
      </c>
      <c r="M37" s="189">
        <f t="shared" si="14"/>
        <v>15232911</v>
      </c>
      <c r="N37" s="189">
        <f t="shared" si="14"/>
        <v>15232911</v>
      </c>
      <c r="O37" s="1268">
        <f t="shared" si="14"/>
        <v>13693385</v>
      </c>
      <c r="P37" s="424"/>
      <c r="Q37" s="424">
        <v>12729451</v>
      </c>
      <c r="R37" s="1257">
        <f>SUM(Q37/O37)</f>
        <v>0.9296058644374637</v>
      </c>
      <c r="S37" s="424"/>
      <c r="T37" s="190"/>
      <c r="U37" s="190"/>
      <c r="V37" s="1711"/>
      <c r="W37" s="1711"/>
      <c r="X37" s="171"/>
      <c r="Y37" s="407"/>
      <c r="Z37" s="182"/>
      <c r="AA37" s="182"/>
      <c r="AB37" s="133"/>
      <c r="AC37" s="407">
        <v>1184825</v>
      </c>
      <c r="AD37" s="407"/>
      <c r="AE37" s="681"/>
      <c r="AF37" s="429"/>
      <c r="AG37" s="133"/>
    </row>
    <row r="38" spans="1:33" s="159" customFormat="1" ht="12" customHeight="1">
      <c r="A38" s="169"/>
      <c r="B38" s="170" t="s">
        <v>113</v>
      </c>
      <c r="C38" s="418" t="s">
        <v>80</v>
      </c>
      <c r="D38" s="424"/>
      <c r="E38" s="190"/>
      <c r="F38" s="190"/>
      <c r="G38" s="171"/>
      <c r="H38" s="424"/>
      <c r="I38" s="424"/>
      <c r="J38" s="681"/>
      <c r="K38" s="431"/>
      <c r="L38" s="424"/>
      <c r="M38" s="190"/>
      <c r="N38" s="190"/>
      <c r="O38" s="171"/>
      <c r="P38" s="424"/>
      <c r="Q38" s="424"/>
      <c r="R38" s="681"/>
      <c r="S38" s="424"/>
      <c r="T38" s="190"/>
      <c r="U38" s="190"/>
      <c r="V38" s="1711"/>
      <c r="W38" s="1711"/>
      <c r="X38" s="171"/>
      <c r="Y38" s="407"/>
      <c r="Z38" s="182"/>
      <c r="AA38" s="182"/>
      <c r="AB38" s="133"/>
      <c r="AC38" s="407"/>
      <c r="AD38" s="407"/>
      <c r="AE38" s="133"/>
      <c r="AF38" s="430"/>
      <c r="AG38" s="133"/>
    </row>
    <row r="39" spans="1:33" ht="12" customHeight="1" thickBot="1">
      <c r="A39" s="169"/>
      <c r="B39" s="170" t="s">
        <v>49</v>
      </c>
      <c r="C39" s="418" t="s">
        <v>82</v>
      </c>
      <c r="D39" s="424"/>
      <c r="E39" s="190"/>
      <c r="F39" s="190"/>
      <c r="G39" s="171"/>
      <c r="H39" s="424"/>
      <c r="I39" s="424"/>
      <c r="J39" s="681"/>
      <c r="K39" s="431"/>
      <c r="L39" s="424"/>
      <c r="M39" s="190"/>
      <c r="N39" s="190"/>
      <c r="O39" s="171"/>
      <c r="P39" s="424"/>
      <c r="Q39" s="424"/>
      <c r="R39" s="681"/>
      <c r="S39" s="424"/>
      <c r="T39" s="190"/>
      <c r="U39" s="190"/>
      <c r="V39" s="1711"/>
      <c r="W39" s="1711"/>
      <c r="X39" s="171"/>
      <c r="Y39" s="424"/>
      <c r="Z39" s="190"/>
      <c r="AA39" s="190"/>
      <c r="AB39" s="171"/>
      <c r="AC39" s="424"/>
      <c r="AD39" s="424"/>
      <c r="AE39" s="171"/>
      <c r="AF39" s="431"/>
      <c r="AG39" s="171"/>
    </row>
    <row r="40" spans="1:33" ht="12" customHeight="1" thickBot="1">
      <c r="A40" s="136" t="s">
        <v>27</v>
      </c>
      <c r="B40" s="166"/>
      <c r="C40" s="416" t="s">
        <v>139</v>
      </c>
      <c r="D40" s="405">
        <f aca="true" t="shared" si="15" ref="D40:I40">SUM(D41:D44)</f>
        <v>889000</v>
      </c>
      <c r="E40" s="181">
        <f>SUM(E41:E44)</f>
        <v>889000</v>
      </c>
      <c r="F40" s="181">
        <f>SUM(F41:F44)</f>
        <v>889000</v>
      </c>
      <c r="G40" s="128">
        <f>SUM(G41:G44)</f>
        <v>516110</v>
      </c>
      <c r="H40" s="405">
        <f t="shared" si="15"/>
        <v>516110</v>
      </c>
      <c r="I40" s="405">
        <f t="shared" si="15"/>
        <v>0</v>
      </c>
      <c r="J40" s="1720">
        <f>SUM(H40/G40)</f>
        <v>1</v>
      </c>
      <c r="K40" s="399">
        <f aca="true" t="shared" si="16" ref="K40:Q40">SUM(K41:K44)</f>
        <v>0</v>
      </c>
      <c r="L40" s="405">
        <f t="shared" si="16"/>
        <v>889000</v>
      </c>
      <c r="M40" s="181">
        <f>SUM(M41:M44)</f>
        <v>889000</v>
      </c>
      <c r="N40" s="181">
        <f>SUM(N41:N44)</f>
        <v>889000</v>
      </c>
      <c r="O40" s="128">
        <f>SUM(O41:O44)</f>
        <v>516110</v>
      </c>
      <c r="P40" s="405">
        <f t="shared" si="16"/>
        <v>0</v>
      </c>
      <c r="Q40" s="405">
        <f t="shared" si="16"/>
        <v>516110</v>
      </c>
      <c r="R40" s="337">
        <f>SUM(Q40/O40)</f>
        <v>1</v>
      </c>
      <c r="S40" s="405"/>
      <c r="T40" s="181"/>
      <c r="U40" s="181"/>
      <c r="V40" s="1688"/>
      <c r="W40" s="1688"/>
      <c r="X40" s="128"/>
      <c r="Y40" s="405">
        <f aca="true" t="shared" si="17" ref="Y40:AE40">SUM(Y41:Y44)</f>
        <v>0</v>
      </c>
      <c r="Z40" s="181">
        <f>SUM(Z41:Z44)</f>
        <v>0</v>
      </c>
      <c r="AA40" s="181">
        <f>SUM(AA41:AA44)</f>
        <v>0</v>
      </c>
      <c r="AB40" s="128">
        <f>SUM(AB41:AB44)</f>
        <v>0</v>
      </c>
      <c r="AC40" s="405">
        <f t="shared" si="17"/>
        <v>0</v>
      </c>
      <c r="AD40" s="405">
        <f t="shared" si="17"/>
        <v>0</v>
      </c>
      <c r="AE40" s="128">
        <f t="shared" si="17"/>
        <v>0</v>
      </c>
      <c r="AF40" s="399"/>
      <c r="AG40" s="128">
        <f>SUM(AG41:AG44)</f>
        <v>0</v>
      </c>
    </row>
    <row r="41" spans="1:33" ht="12" customHeight="1">
      <c r="A41" s="167"/>
      <c r="B41" s="168" t="s">
        <v>140</v>
      </c>
      <c r="C41" s="417" t="s">
        <v>92</v>
      </c>
      <c r="D41" s="424">
        <v>889000</v>
      </c>
      <c r="E41" s="190">
        <v>889000</v>
      </c>
      <c r="F41" s="190">
        <v>889000</v>
      </c>
      <c r="G41" s="171">
        <v>516110</v>
      </c>
      <c r="H41" s="423">
        <v>516110</v>
      </c>
      <c r="I41" s="423"/>
      <c r="J41" s="1257">
        <f>SUM(H41/G41)</f>
        <v>1</v>
      </c>
      <c r="K41" s="679"/>
      <c r="L41" s="423">
        <f>+D41-S41</f>
        <v>889000</v>
      </c>
      <c r="M41" s="189">
        <f>+E41-T41</f>
        <v>889000</v>
      </c>
      <c r="N41" s="189">
        <f>+F41-U41</f>
        <v>889000</v>
      </c>
      <c r="O41" s="171">
        <v>516110</v>
      </c>
      <c r="P41" s="423"/>
      <c r="Q41" s="423">
        <v>516110</v>
      </c>
      <c r="R41" s="1257">
        <f>SUM(Q41/O41)</f>
        <v>1</v>
      </c>
      <c r="S41" s="423"/>
      <c r="T41" s="189"/>
      <c r="U41" s="189"/>
      <c r="V41" s="1710"/>
      <c r="W41" s="1710"/>
      <c r="X41" s="1268"/>
      <c r="Y41" s="407"/>
      <c r="Z41" s="182"/>
      <c r="AA41" s="182"/>
      <c r="AB41" s="133"/>
      <c r="AC41" s="407"/>
      <c r="AD41" s="407"/>
      <c r="AE41" s="133"/>
      <c r="AF41" s="430"/>
      <c r="AG41" s="133"/>
    </row>
    <row r="42" spans="1:33" ht="12" customHeight="1">
      <c r="A42" s="169"/>
      <c r="B42" s="170" t="s">
        <v>141</v>
      </c>
      <c r="C42" s="418" t="s">
        <v>93</v>
      </c>
      <c r="D42" s="424"/>
      <c r="E42" s="190"/>
      <c r="F42" s="190"/>
      <c r="G42" s="171"/>
      <c r="H42" s="424"/>
      <c r="I42" s="424"/>
      <c r="J42" s="190"/>
      <c r="K42" s="431"/>
      <c r="L42" s="424"/>
      <c r="M42" s="190"/>
      <c r="N42" s="190"/>
      <c r="O42" s="171"/>
      <c r="P42" s="424"/>
      <c r="Q42" s="424"/>
      <c r="R42" s="190"/>
      <c r="S42" s="424"/>
      <c r="T42" s="190"/>
      <c r="U42" s="190"/>
      <c r="V42" s="1711"/>
      <c r="W42" s="1711"/>
      <c r="X42" s="171"/>
      <c r="Y42" s="424"/>
      <c r="Z42" s="190"/>
      <c r="AA42" s="190"/>
      <c r="AB42" s="171"/>
      <c r="AC42" s="424"/>
      <c r="AD42" s="424"/>
      <c r="AE42" s="171"/>
      <c r="AF42" s="431"/>
      <c r="AG42" s="171"/>
    </row>
    <row r="43" spans="1:33" ht="15" customHeight="1">
      <c r="A43" s="169"/>
      <c r="B43" s="170" t="s">
        <v>142</v>
      </c>
      <c r="C43" s="418" t="s">
        <v>143</v>
      </c>
      <c r="D43" s="424"/>
      <c r="E43" s="190"/>
      <c r="F43" s="190"/>
      <c r="G43" s="171"/>
      <c r="H43" s="424"/>
      <c r="I43" s="424"/>
      <c r="J43" s="190"/>
      <c r="K43" s="431"/>
      <c r="L43" s="424"/>
      <c r="M43" s="190"/>
      <c r="N43" s="190"/>
      <c r="O43" s="171"/>
      <c r="P43" s="424"/>
      <c r="Q43" s="424"/>
      <c r="R43" s="190"/>
      <c r="S43" s="424"/>
      <c r="T43" s="190"/>
      <c r="U43" s="190"/>
      <c r="V43" s="1711"/>
      <c r="W43" s="1711"/>
      <c r="X43" s="171"/>
      <c r="Y43" s="424"/>
      <c r="Z43" s="190"/>
      <c r="AA43" s="190"/>
      <c r="AB43" s="171"/>
      <c r="AC43" s="424"/>
      <c r="AD43" s="424"/>
      <c r="AE43" s="171"/>
      <c r="AF43" s="431"/>
      <c r="AG43" s="171"/>
    </row>
    <row r="44" spans="1:33" ht="23.25" thickBot="1">
      <c r="A44" s="169"/>
      <c r="B44" s="170" t="s">
        <v>144</v>
      </c>
      <c r="C44" s="418" t="s">
        <v>145</v>
      </c>
      <c r="D44" s="424"/>
      <c r="E44" s="190"/>
      <c r="F44" s="190"/>
      <c r="G44" s="171"/>
      <c r="H44" s="424"/>
      <c r="I44" s="424"/>
      <c r="J44" s="190"/>
      <c r="K44" s="431"/>
      <c r="L44" s="424"/>
      <c r="M44" s="190"/>
      <c r="N44" s="190"/>
      <c r="O44" s="171"/>
      <c r="P44" s="424"/>
      <c r="Q44" s="424"/>
      <c r="R44" s="190"/>
      <c r="S44" s="424"/>
      <c r="T44" s="190"/>
      <c r="U44" s="190"/>
      <c r="V44" s="1711"/>
      <c r="W44" s="1711"/>
      <c r="X44" s="171"/>
      <c r="Y44" s="424"/>
      <c r="Z44" s="190"/>
      <c r="AA44" s="190"/>
      <c r="AB44" s="171"/>
      <c r="AC44" s="424"/>
      <c r="AD44" s="424"/>
      <c r="AE44" s="171"/>
      <c r="AF44" s="431"/>
      <c r="AG44" s="171"/>
    </row>
    <row r="45" spans="1:33" ht="15" customHeight="1" hidden="1">
      <c r="A45" s="136" t="s">
        <v>9</v>
      </c>
      <c r="B45" s="166"/>
      <c r="C45" s="419" t="s">
        <v>146</v>
      </c>
      <c r="D45" s="410"/>
      <c r="E45" s="185"/>
      <c r="F45" s="185"/>
      <c r="G45" s="144"/>
      <c r="H45" s="410"/>
      <c r="I45" s="410"/>
      <c r="J45" s="185"/>
      <c r="K45" s="400"/>
      <c r="L45" s="410"/>
      <c r="M45" s="185"/>
      <c r="N45" s="185"/>
      <c r="O45" s="144"/>
      <c r="P45" s="410"/>
      <c r="Q45" s="410"/>
      <c r="R45" s="185"/>
      <c r="S45" s="410"/>
      <c r="T45" s="185"/>
      <c r="U45" s="185"/>
      <c r="V45" s="1697"/>
      <c r="W45" s="1697"/>
      <c r="X45" s="144"/>
      <c r="Y45" s="410"/>
      <c r="Z45" s="185"/>
      <c r="AA45" s="185"/>
      <c r="AB45" s="144"/>
      <c r="AC45" s="410"/>
      <c r="AD45" s="410"/>
      <c r="AE45" s="144"/>
      <c r="AF45" s="400"/>
      <c r="AG45" s="144"/>
    </row>
    <row r="46" spans="1:33" ht="14.25" customHeight="1" hidden="1" thickBot="1">
      <c r="A46" s="152" t="s">
        <v>10</v>
      </c>
      <c r="B46" s="153"/>
      <c r="C46" s="420" t="s">
        <v>147</v>
      </c>
      <c r="D46" s="410"/>
      <c r="E46" s="185"/>
      <c r="F46" s="185"/>
      <c r="G46" s="144"/>
      <c r="H46" s="410"/>
      <c r="I46" s="410"/>
      <c r="J46" s="185"/>
      <c r="K46" s="400"/>
      <c r="L46" s="410"/>
      <c r="M46" s="185"/>
      <c r="N46" s="185"/>
      <c r="O46" s="144"/>
      <c r="P46" s="410"/>
      <c r="Q46" s="410"/>
      <c r="R46" s="185"/>
      <c r="S46" s="410"/>
      <c r="T46" s="185"/>
      <c r="U46" s="185"/>
      <c r="V46" s="1697"/>
      <c r="W46" s="1697"/>
      <c r="X46" s="144"/>
      <c r="Y46" s="410"/>
      <c r="Z46" s="185"/>
      <c r="AA46" s="185"/>
      <c r="AB46" s="144"/>
      <c r="AC46" s="410"/>
      <c r="AD46" s="410"/>
      <c r="AE46" s="144"/>
      <c r="AF46" s="400"/>
      <c r="AG46" s="144"/>
    </row>
    <row r="47" spans="1:33" ht="13.5" thickBot="1">
      <c r="A47" s="136" t="s">
        <v>9</v>
      </c>
      <c r="B47" s="172"/>
      <c r="C47" s="421" t="s">
        <v>265</v>
      </c>
      <c r="D47" s="413">
        <f aca="true" t="shared" si="18" ref="D47:I47">D34+D40+D45+D46</f>
        <v>112243256</v>
      </c>
      <c r="E47" s="188">
        <f>E34+E40+E45+E46</f>
        <v>112243256</v>
      </c>
      <c r="F47" s="188">
        <f>F34+F40+F45+F46</f>
        <v>112243256</v>
      </c>
      <c r="G47" s="173">
        <f>G34+G40+G45+G46</f>
        <v>108256340</v>
      </c>
      <c r="H47" s="413">
        <f t="shared" si="18"/>
        <v>107002089</v>
      </c>
      <c r="I47" s="413">
        <f t="shared" si="18"/>
        <v>0</v>
      </c>
      <c r="J47" s="1260">
        <f>SUM(H47/G47)</f>
        <v>0.9884140642478768</v>
      </c>
      <c r="K47" s="155">
        <f aca="true" t="shared" si="19" ref="K47:S47">K34+K40+K45+K46</f>
        <v>0</v>
      </c>
      <c r="L47" s="413">
        <f t="shared" si="19"/>
        <v>110804373</v>
      </c>
      <c r="M47" s="188">
        <f>M34+M40+M45+M46</f>
        <v>110804373</v>
      </c>
      <c r="N47" s="188">
        <f>N34+N40+N45+N46</f>
        <v>110804373</v>
      </c>
      <c r="O47" s="1708">
        <f>O34+O40+O45+O46</f>
        <v>106701967</v>
      </c>
      <c r="P47" s="413">
        <f t="shared" si="19"/>
        <v>0</v>
      </c>
      <c r="Q47" s="1714">
        <f t="shared" si="19"/>
        <v>105447716</v>
      </c>
      <c r="R47" s="337">
        <f>SUM(Q47/O47)</f>
        <v>0.9882452869870711</v>
      </c>
      <c r="S47" s="413">
        <f t="shared" si="19"/>
        <v>1438883</v>
      </c>
      <c r="T47" s="188">
        <f>T34+T40+T45+T46</f>
        <v>1438883</v>
      </c>
      <c r="U47" s="188">
        <f>U34+U40+U45+U46</f>
        <v>1438883</v>
      </c>
      <c r="V47" s="1705">
        <f>V34+V40+V45+V46</f>
        <v>1554373</v>
      </c>
      <c r="W47" s="1715">
        <f>W34+W40+W45+W46</f>
        <v>1554373</v>
      </c>
      <c r="X47" s="1721">
        <f>SUM(W47/V47)</f>
        <v>1</v>
      </c>
      <c r="Y47" s="413">
        <f aca="true" t="shared" si="20" ref="Y47:AD47">Y34+Y40+Y45+Y46</f>
        <v>0</v>
      </c>
      <c r="Z47" s="188">
        <f>Z34+Z40+Z45+Z46</f>
        <v>0</v>
      </c>
      <c r="AA47" s="188">
        <f>AA34+AA40+AA45+AA46</f>
        <v>0</v>
      </c>
      <c r="AB47" s="173">
        <f>AB34+AB40+AB45+AB46</f>
        <v>0</v>
      </c>
      <c r="AC47" s="413">
        <f t="shared" si="20"/>
        <v>5610894</v>
      </c>
      <c r="AD47" s="413">
        <f t="shared" si="20"/>
        <v>0</v>
      </c>
      <c r="AE47" s="337">
        <f>AD47/AC47</f>
        <v>0</v>
      </c>
      <c r="AF47" s="432">
        <f>AE47/AC47</f>
        <v>0</v>
      </c>
      <c r="AG47" s="173">
        <f>AG34+AG40+AG45+AG46</f>
        <v>0</v>
      </c>
    </row>
    <row r="48" spans="1:33" ht="13.5" thickBot="1">
      <c r="A48" s="174"/>
      <c r="B48" s="175"/>
      <c r="C48" s="175"/>
      <c r="D48" s="433"/>
      <c r="E48" s="434"/>
      <c r="F48" s="434"/>
      <c r="G48" s="1709"/>
      <c r="H48" s="1716"/>
      <c r="I48" s="433"/>
      <c r="J48" s="434"/>
      <c r="K48" s="680"/>
      <c r="L48" s="433"/>
      <c r="M48" s="434"/>
      <c r="N48" s="434"/>
      <c r="O48" s="1269"/>
      <c r="P48" s="433"/>
      <c r="Q48" s="433"/>
      <c r="R48" s="434"/>
      <c r="S48" s="433"/>
      <c r="T48" s="434"/>
      <c r="U48" s="434"/>
      <c r="V48" s="1712"/>
      <c r="W48" s="1712"/>
      <c r="X48" s="1269"/>
      <c r="Y48" s="433"/>
      <c r="Z48" s="434"/>
      <c r="AA48" s="434"/>
      <c r="AB48" s="1269"/>
      <c r="AC48" s="433"/>
      <c r="AD48" s="433"/>
      <c r="AE48" s="435"/>
      <c r="AG48" s="435"/>
    </row>
    <row r="49" spans="1:33" ht="13.5" thickBot="1">
      <c r="A49" s="176" t="s">
        <v>149</v>
      </c>
      <c r="B49" s="177"/>
      <c r="C49" s="422"/>
      <c r="D49" s="436">
        <v>17</v>
      </c>
      <c r="E49" s="193">
        <v>17</v>
      </c>
      <c r="F49" s="193">
        <v>17</v>
      </c>
      <c r="G49" s="425">
        <v>17</v>
      </c>
      <c r="H49" s="436">
        <v>16</v>
      </c>
      <c r="I49" s="436">
        <v>17</v>
      </c>
      <c r="J49" s="337"/>
      <c r="K49" s="192"/>
      <c r="L49" s="436">
        <v>17</v>
      </c>
      <c r="M49" s="193">
        <v>17</v>
      </c>
      <c r="N49" s="193">
        <v>17</v>
      </c>
      <c r="O49" s="425">
        <v>17</v>
      </c>
      <c r="P49" s="436">
        <v>18</v>
      </c>
      <c r="Q49" s="436">
        <v>16</v>
      </c>
      <c r="R49" s="337"/>
      <c r="S49" s="436">
        <v>0</v>
      </c>
      <c r="T49" s="193">
        <v>0</v>
      </c>
      <c r="U49" s="193">
        <v>0</v>
      </c>
      <c r="V49" s="1713">
        <v>0</v>
      </c>
      <c r="W49" s="1713"/>
      <c r="X49" s="425"/>
      <c r="Y49" s="436">
        <v>0</v>
      </c>
      <c r="Z49" s="193">
        <v>0</v>
      </c>
      <c r="AA49" s="193">
        <v>0</v>
      </c>
      <c r="AB49" s="425">
        <v>0</v>
      </c>
      <c r="AC49" s="436">
        <v>2</v>
      </c>
      <c r="AD49" s="436">
        <v>0</v>
      </c>
      <c r="AE49" s="337">
        <f>AD49/AC49</f>
        <v>0</v>
      </c>
      <c r="AF49" s="192"/>
      <c r="AG49" s="425"/>
    </row>
    <row r="50" spans="1:33" ht="13.5" thickBot="1">
      <c r="A50" s="176" t="s">
        <v>150</v>
      </c>
      <c r="B50" s="177"/>
      <c r="C50" s="422"/>
      <c r="D50" s="436">
        <v>0</v>
      </c>
      <c r="E50" s="193">
        <v>0</v>
      </c>
      <c r="F50" s="193">
        <v>0</v>
      </c>
      <c r="G50" s="425">
        <v>0</v>
      </c>
      <c r="H50" s="436">
        <v>0</v>
      </c>
      <c r="I50" s="436">
        <v>0</v>
      </c>
      <c r="J50" s="337"/>
      <c r="K50" s="192"/>
      <c r="L50" s="436">
        <v>0</v>
      </c>
      <c r="M50" s="193">
        <v>0</v>
      </c>
      <c r="N50" s="193">
        <v>0</v>
      </c>
      <c r="O50" s="425">
        <v>0</v>
      </c>
      <c r="P50" s="436">
        <v>0</v>
      </c>
      <c r="Q50" s="436">
        <v>0</v>
      </c>
      <c r="R50" s="337"/>
      <c r="S50" s="436">
        <v>0</v>
      </c>
      <c r="T50" s="193">
        <v>0</v>
      </c>
      <c r="U50" s="193">
        <v>0</v>
      </c>
      <c r="V50" s="1713">
        <v>0</v>
      </c>
      <c r="W50" s="1713"/>
      <c r="X50" s="425"/>
      <c r="Y50" s="436">
        <v>0</v>
      </c>
      <c r="Z50" s="193">
        <v>0</v>
      </c>
      <c r="AA50" s="193">
        <v>0</v>
      </c>
      <c r="AB50" s="425">
        <v>0</v>
      </c>
      <c r="AC50" s="436">
        <v>0</v>
      </c>
      <c r="AD50" s="436">
        <v>0</v>
      </c>
      <c r="AE50" s="425"/>
      <c r="AF50" s="192"/>
      <c r="AG50" s="425"/>
    </row>
    <row r="51" spans="6:24" ht="7.5" customHeight="1">
      <c r="F51" s="194"/>
      <c r="G51" s="194"/>
      <c r="H51" s="194"/>
      <c r="I51" s="194"/>
      <c r="J51" s="194"/>
      <c r="K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</row>
    <row r="52" spans="1:24" ht="12.75" hidden="1">
      <c r="A52" s="1913" t="s">
        <v>208</v>
      </c>
      <c r="B52" s="1913"/>
      <c r="C52" s="1913"/>
      <c r="F52" s="194"/>
      <c r="J52" s="120">
        <v>100213</v>
      </c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</row>
    <row r="53" spans="4:11" ht="12.75">
      <c r="D53" s="194">
        <v>0</v>
      </c>
      <c r="E53" s="194"/>
      <c r="F53" s="194"/>
      <c r="G53" s="194"/>
      <c r="H53" s="194"/>
      <c r="I53" s="194"/>
      <c r="J53" s="194"/>
      <c r="K53" s="194"/>
    </row>
  </sheetData>
  <sheetProtection/>
  <mergeCells count="8">
    <mergeCell ref="C1:AC1"/>
    <mergeCell ref="A5:B5"/>
    <mergeCell ref="A3:Y3"/>
    <mergeCell ref="A52:C52"/>
    <mergeCell ref="D5:K5"/>
    <mergeCell ref="L5:R5"/>
    <mergeCell ref="Y5:AF5"/>
    <mergeCell ref="S5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W58"/>
  <sheetViews>
    <sheetView view="pageBreakPreview" zoomScale="60" workbookViewId="0" topLeftCell="A1">
      <pane ySplit="7" topLeftCell="A8" activePane="bottomLeft" state="frozen"/>
      <selection pane="topLeft" activeCell="A1" sqref="A1"/>
      <selection pane="bottomLeft" activeCell="A12" sqref="A12:IV12"/>
    </sheetView>
  </sheetViews>
  <sheetFormatPr defaultColWidth="9.140625" defaultRowHeight="12.75"/>
  <cols>
    <col min="1" max="1" width="8.28125" style="277" customWidth="1"/>
    <col min="2" max="2" width="8.28125" style="271" customWidth="1"/>
    <col min="3" max="3" width="52.00390625" style="271" customWidth="1"/>
    <col min="4" max="4" width="13.28125" style="271" customWidth="1"/>
    <col min="5" max="5" width="11.28125" style="271" hidden="1" customWidth="1"/>
    <col min="6" max="6" width="11.00390625" style="271" hidden="1" customWidth="1"/>
    <col min="7" max="7" width="12.140625" style="271" customWidth="1"/>
    <col min="8" max="8" width="12.28125" style="271" customWidth="1"/>
    <col min="9" max="9" width="13.00390625" style="271" hidden="1" customWidth="1"/>
    <col min="10" max="10" width="9.8515625" style="271" customWidth="1"/>
    <col min="11" max="11" width="9.7109375" style="271" hidden="1" customWidth="1"/>
    <col min="12" max="12" width="13.7109375" style="271" customWidth="1"/>
    <col min="13" max="13" width="11.28125" style="271" hidden="1" customWidth="1"/>
    <col min="14" max="14" width="14.00390625" style="271" hidden="1" customWidth="1"/>
    <col min="15" max="15" width="11.28125" style="271" customWidth="1"/>
    <col min="16" max="16" width="12.28125" style="271" hidden="1" customWidth="1"/>
    <col min="17" max="17" width="13.00390625" style="271" customWidth="1"/>
    <col min="18" max="18" width="11.28125" style="271" customWidth="1"/>
    <col min="19" max="19" width="13.57421875" style="271" hidden="1" customWidth="1"/>
    <col min="20" max="20" width="6.28125" style="271" hidden="1" customWidth="1"/>
    <col min="21" max="21" width="7.140625" style="271" hidden="1" customWidth="1"/>
    <col min="22" max="22" width="8.57421875" style="271" hidden="1" customWidth="1"/>
    <col min="23" max="23" width="13.28125" style="271" hidden="1" customWidth="1"/>
    <col min="24" max="16384" width="9.140625" style="271" customWidth="1"/>
  </cols>
  <sheetData>
    <row r="1" spans="1:22" s="112" customFormat="1" ht="21" customHeight="1">
      <c r="A1" s="108"/>
      <c r="B1" s="109"/>
      <c r="C1" s="110"/>
      <c r="D1" s="111"/>
      <c r="E1" s="111"/>
      <c r="F1" s="111"/>
      <c r="G1" s="111"/>
      <c r="H1" s="111"/>
      <c r="I1" s="111"/>
      <c r="J1" s="111"/>
      <c r="K1" s="111"/>
      <c r="L1" s="1909" t="s">
        <v>567</v>
      </c>
      <c r="M1" s="1909"/>
      <c r="N1" s="1909"/>
      <c r="O1" s="1909"/>
      <c r="P1" s="1909"/>
      <c r="Q1" s="1909"/>
      <c r="R1" s="1909"/>
      <c r="S1" s="1909"/>
      <c r="T1" s="1909"/>
      <c r="U1" s="1909"/>
      <c r="V1" s="1909"/>
    </row>
    <row r="2" spans="1:11" s="112" customFormat="1" ht="21" customHeight="1">
      <c r="A2" s="214"/>
      <c r="B2" s="109"/>
      <c r="C2" s="114"/>
      <c r="D2" s="113"/>
      <c r="E2" s="113"/>
      <c r="F2" s="113"/>
      <c r="G2" s="113"/>
      <c r="H2" s="113"/>
      <c r="I2" s="113"/>
      <c r="J2" s="113"/>
      <c r="K2" s="113"/>
    </row>
    <row r="3" spans="1:19" s="115" customFormat="1" ht="25.5" customHeight="1">
      <c r="A3" s="1912" t="s">
        <v>212</v>
      </c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</row>
    <row r="4" spans="1:19" s="118" customFormat="1" ht="15.75" customHeight="1" thickBot="1">
      <c r="A4" s="116"/>
      <c r="B4" s="116"/>
      <c r="C4" s="116"/>
      <c r="S4" s="117" t="s">
        <v>443</v>
      </c>
    </row>
    <row r="5" spans="1:23" s="118" customFormat="1" ht="41.25" customHeight="1" thickBot="1">
      <c r="A5" s="116"/>
      <c r="B5" s="116"/>
      <c r="C5" s="116"/>
      <c r="D5" s="1918" t="s">
        <v>4</v>
      </c>
      <c r="E5" s="1919"/>
      <c r="F5" s="1919"/>
      <c r="G5" s="1919"/>
      <c r="H5" s="1919"/>
      <c r="I5" s="1919"/>
      <c r="J5" s="1919"/>
      <c r="K5" s="1920"/>
      <c r="L5" s="1918" t="s">
        <v>104</v>
      </c>
      <c r="M5" s="1919"/>
      <c r="N5" s="1919"/>
      <c r="O5" s="1919"/>
      <c r="P5" s="1919"/>
      <c r="Q5" s="1919"/>
      <c r="R5" s="1920"/>
      <c r="S5" s="1918" t="s">
        <v>152</v>
      </c>
      <c r="T5" s="1919"/>
      <c r="U5" s="1919"/>
      <c r="V5" s="1919"/>
      <c r="W5" s="1920"/>
    </row>
    <row r="6" spans="1:23" ht="13.5" thickBot="1">
      <c r="A6" s="1910" t="s">
        <v>106</v>
      </c>
      <c r="B6" s="1911"/>
      <c r="C6" s="437" t="s">
        <v>107</v>
      </c>
      <c r="D6" s="427" t="s">
        <v>64</v>
      </c>
      <c r="E6" s="119" t="s">
        <v>220</v>
      </c>
      <c r="F6" s="119" t="s">
        <v>223</v>
      </c>
      <c r="G6" s="119" t="s">
        <v>225</v>
      </c>
      <c r="H6" s="119" t="s">
        <v>228</v>
      </c>
      <c r="I6" s="119" t="s">
        <v>242</v>
      </c>
      <c r="J6" s="119" t="s">
        <v>229</v>
      </c>
      <c r="K6" s="398" t="s">
        <v>241</v>
      </c>
      <c r="L6" s="427" t="s">
        <v>64</v>
      </c>
      <c r="M6" s="119" t="s">
        <v>220</v>
      </c>
      <c r="N6" s="119" t="s">
        <v>223</v>
      </c>
      <c r="O6" s="119" t="s">
        <v>225</v>
      </c>
      <c r="P6" s="119" t="s">
        <v>237</v>
      </c>
      <c r="Q6" s="119" t="s">
        <v>228</v>
      </c>
      <c r="R6" s="398" t="s">
        <v>229</v>
      </c>
      <c r="S6" s="427" t="s">
        <v>64</v>
      </c>
      <c r="T6" s="119" t="s">
        <v>220</v>
      </c>
      <c r="U6" s="119" t="s">
        <v>223</v>
      </c>
      <c r="V6" s="119" t="s">
        <v>225</v>
      </c>
      <c r="W6" s="398" t="s">
        <v>242</v>
      </c>
    </row>
    <row r="7" spans="1:23" s="124" customFormat="1" ht="12.75" customHeight="1" thickBot="1">
      <c r="A7" s="121">
        <v>1</v>
      </c>
      <c r="B7" s="122">
        <v>2</v>
      </c>
      <c r="C7" s="262">
        <v>3</v>
      </c>
      <c r="D7" s="121">
        <v>4</v>
      </c>
      <c r="E7" s="122">
        <v>5</v>
      </c>
      <c r="F7" s="122">
        <v>6</v>
      </c>
      <c r="G7" s="122">
        <v>7</v>
      </c>
      <c r="H7" s="122">
        <v>8</v>
      </c>
      <c r="I7" s="122">
        <v>5</v>
      </c>
      <c r="J7" s="122">
        <v>9</v>
      </c>
      <c r="K7" s="123">
        <v>9</v>
      </c>
      <c r="L7" s="121">
        <v>8</v>
      </c>
      <c r="M7" s="122">
        <v>9</v>
      </c>
      <c r="N7" s="122">
        <v>10</v>
      </c>
      <c r="O7" s="122">
        <v>11</v>
      </c>
      <c r="P7" s="122">
        <v>13</v>
      </c>
      <c r="Q7" s="122">
        <v>7</v>
      </c>
      <c r="R7" s="123">
        <v>15</v>
      </c>
      <c r="S7" s="121">
        <v>12</v>
      </c>
      <c r="T7" s="122">
        <v>13</v>
      </c>
      <c r="U7" s="122">
        <v>14</v>
      </c>
      <c r="V7" s="122">
        <v>15</v>
      </c>
      <c r="W7" s="123">
        <v>9</v>
      </c>
    </row>
    <row r="8" spans="1:23" s="124" customFormat="1" ht="15.75" customHeight="1" thickBot="1">
      <c r="A8" s="125"/>
      <c r="B8" s="126"/>
      <c r="C8" s="126" t="s">
        <v>108</v>
      </c>
      <c r="D8" s="404"/>
      <c r="E8" s="180"/>
      <c r="F8" s="447"/>
      <c r="G8" s="447"/>
      <c r="H8" s="447"/>
      <c r="I8" s="447"/>
      <c r="J8" s="447"/>
      <c r="K8" s="687"/>
      <c r="L8" s="404"/>
      <c r="M8" s="180"/>
      <c r="N8" s="238"/>
      <c r="O8" s="238"/>
      <c r="P8" s="238"/>
      <c r="Q8" s="238"/>
      <c r="R8" s="239"/>
      <c r="S8" s="449"/>
      <c r="T8" s="238"/>
      <c r="U8" s="238"/>
      <c r="V8" s="238"/>
      <c r="W8" s="239"/>
    </row>
    <row r="9" spans="1:23" s="129" customFormat="1" ht="12" customHeight="1" thickBot="1">
      <c r="A9" s="121" t="s">
        <v>26</v>
      </c>
      <c r="B9" s="127"/>
      <c r="C9" s="438" t="s">
        <v>325</v>
      </c>
      <c r="D9" s="405">
        <f aca="true" t="shared" si="0" ref="D9:I9">SUM(D10:D17)</f>
        <v>34373894</v>
      </c>
      <c r="E9" s="181">
        <f>SUM(E10:E17)</f>
        <v>34373994</v>
      </c>
      <c r="F9" s="181">
        <f>SUM(F10:F17)</f>
        <v>34376169</v>
      </c>
      <c r="G9" s="1723">
        <f>SUM(G10:G17)</f>
        <v>32058255</v>
      </c>
      <c r="H9" s="1725">
        <f t="shared" si="0"/>
        <v>31982630</v>
      </c>
      <c r="I9" s="181">
        <f t="shared" si="0"/>
        <v>0</v>
      </c>
      <c r="J9" s="1728">
        <f>SUM(H9/G9)</f>
        <v>0.9976410132117297</v>
      </c>
      <c r="K9" s="128"/>
      <c r="L9" s="405">
        <f aca="true" t="shared" si="1" ref="L9:Q9">SUM(L10:L17)</f>
        <v>34373894</v>
      </c>
      <c r="M9" s="181">
        <f t="shared" si="1"/>
        <v>34373994</v>
      </c>
      <c r="N9" s="181">
        <f>SUM(N10:N17)</f>
        <v>34376169</v>
      </c>
      <c r="O9" s="181">
        <f>SUM(O10:O17)</f>
        <v>32058255</v>
      </c>
      <c r="P9" s="181">
        <f t="shared" si="1"/>
        <v>0</v>
      </c>
      <c r="Q9" s="181">
        <f t="shared" si="1"/>
        <v>31982630</v>
      </c>
      <c r="R9" s="1728">
        <f>SUM(Q9/O9)</f>
        <v>0.9976410132117297</v>
      </c>
      <c r="S9" s="405"/>
      <c r="T9" s="181"/>
      <c r="U9" s="181"/>
      <c r="V9" s="181"/>
      <c r="W9" s="128"/>
    </row>
    <row r="10" spans="1:23" s="129" customFormat="1" ht="12" customHeight="1">
      <c r="A10" s="130"/>
      <c r="B10" s="139" t="s">
        <v>35</v>
      </c>
      <c r="C10" s="794" t="s">
        <v>458</v>
      </c>
      <c r="D10" s="797">
        <v>18123280</v>
      </c>
      <c r="E10" s="774">
        <v>18123280</v>
      </c>
      <c r="F10" s="774">
        <v>18123280</v>
      </c>
      <c r="G10" s="774">
        <v>18045188</v>
      </c>
      <c r="H10" s="774">
        <v>18034243</v>
      </c>
      <c r="I10" s="774"/>
      <c r="J10" s="1727">
        <f>SUM(H10/G10)</f>
        <v>0.9993934671115646</v>
      </c>
      <c r="K10" s="776"/>
      <c r="L10" s="797">
        <v>18123280</v>
      </c>
      <c r="M10" s="774">
        <v>18123280</v>
      </c>
      <c r="N10" s="774">
        <v>18123280</v>
      </c>
      <c r="O10" s="774">
        <v>18045188</v>
      </c>
      <c r="P10" s="774"/>
      <c r="Q10" s="774">
        <v>18034243</v>
      </c>
      <c r="R10" s="1727">
        <f>SUM(Q10/O10)</f>
        <v>0.9993934671115646</v>
      </c>
      <c r="S10" s="777"/>
      <c r="T10" s="773"/>
      <c r="U10" s="773"/>
      <c r="V10" s="773"/>
      <c r="W10" s="776"/>
    </row>
    <row r="11" spans="1:23" s="129" customFormat="1" ht="12" customHeight="1">
      <c r="A11" s="132"/>
      <c r="B11" s="131" t="s">
        <v>36</v>
      </c>
      <c r="C11" s="795" t="s">
        <v>323</v>
      </c>
      <c r="D11" s="798">
        <v>3332000</v>
      </c>
      <c r="E11" s="779">
        <v>3332000</v>
      </c>
      <c r="F11" s="779">
        <v>3332000</v>
      </c>
      <c r="G11" s="779">
        <v>2442025</v>
      </c>
      <c r="H11" s="779">
        <v>2442025</v>
      </c>
      <c r="I11" s="779"/>
      <c r="J11" s="1258">
        <f>SUM(H11/G11)</f>
        <v>1</v>
      </c>
      <c r="K11" s="781"/>
      <c r="L11" s="798">
        <v>3332000</v>
      </c>
      <c r="M11" s="779">
        <v>3332000</v>
      </c>
      <c r="N11" s="779">
        <v>3332000</v>
      </c>
      <c r="O11" s="779">
        <v>2442025</v>
      </c>
      <c r="P11" s="779"/>
      <c r="Q11" s="779">
        <v>2442025</v>
      </c>
      <c r="R11" s="448">
        <f>SUM(Q11/O11)</f>
        <v>1</v>
      </c>
      <c r="S11" s="782"/>
      <c r="T11" s="778"/>
      <c r="U11" s="778"/>
      <c r="V11" s="778"/>
      <c r="W11" s="781"/>
    </row>
    <row r="12" spans="1:23" s="129" customFormat="1" ht="12" customHeight="1">
      <c r="A12" s="132"/>
      <c r="B12" s="131" t="s">
        <v>37</v>
      </c>
      <c r="C12" s="795" t="s">
        <v>460</v>
      </c>
      <c r="D12" s="798"/>
      <c r="E12" s="779"/>
      <c r="F12" s="779"/>
      <c r="G12" s="779"/>
      <c r="H12" s="779"/>
      <c r="I12" s="779"/>
      <c r="J12" s="1274"/>
      <c r="K12" s="781"/>
      <c r="L12" s="798"/>
      <c r="M12" s="779"/>
      <c r="N12" s="779"/>
      <c r="O12" s="779"/>
      <c r="P12" s="779"/>
      <c r="Q12" s="779"/>
      <c r="R12" s="780"/>
      <c r="S12" s="782"/>
      <c r="T12" s="778"/>
      <c r="U12" s="778"/>
      <c r="V12" s="778"/>
      <c r="W12" s="781"/>
    </row>
    <row r="13" spans="1:23" s="129" customFormat="1" ht="12" customHeight="1">
      <c r="A13" s="132"/>
      <c r="B13" s="131" t="s">
        <v>48</v>
      </c>
      <c r="C13" s="795" t="s">
        <v>461</v>
      </c>
      <c r="D13" s="798">
        <v>6433487</v>
      </c>
      <c r="E13" s="779">
        <v>6433487</v>
      </c>
      <c r="F13" s="779">
        <v>6433487</v>
      </c>
      <c r="G13" s="779">
        <v>5135080</v>
      </c>
      <c r="H13" s="779">
        <v>5086575</v>
      </c>
      <c r="I13" s="779"/>
      <c r="J13" s="1258">
        <f>SUM(H13/G13)</f>
        <v>0.9905541880554928</v>
      </c>
      <c r="K13" s="781"/>
      <c r="L13" s="798">
        <v>6433487</v>
      </c>
      <c r="M13" s="779">
        <v>6433487</v>
      </c>
      <c r="N13" s="779">
        <v>6433487</v>
      </c>
      <c r="O13" s="779">
        <v>5135080</v>
      </c>
      <c r="P13" s="779"/>
      <c r="Q13" s="779">
        <v>5086575</v>
      </c>
      <c r="R13" s="448">
        <f>SUM(Q13/O13)</f>
        <v>0.9905541880554928</v>
      </c>
      <c r="S13" s="782"/>
      <c r="T13" s="778"/>
      <c r="U13" s="778"/>
      <c r="V13" s="778"/>
      <c r="W13" s="781"/>
    </row>
    <row r="14" spans="1:23" s="129" customFormat="1" ht="12" customHeight="1">
      <c r="A14" s="132"/>
      <c r="B14" s="131" t="s">
        <v>49</v>
      </c>
      <c r="C14" s="796" t="s">
        <v>462</v>
      </c>
      <c r="D14" s="799">
        <v>6485127</v>
      </c>
      <c r="E14" s="786">
        <v>6485127</v>
      </c>
      <c r="F14" s="786">
        <v>6485127</v>
      </c>
      <c r="G14" s="786">
        <v>6433687</v>
      </c>
      <c r="H14" s="786">
        <v>6417637</v>
      </c>
      <c r="I14" s="786"/>
      <c r="J14" s="1258">
        <f>SUM(H14/G14)</f>
        <v>0.9975053184900042</v>
      </c>
      <c r="K14" s="787"/>
      <c r="L14" s="799">
        <v>6485127</v>
      </c>
      <c r="M14" s="786">
        <v>6485127</v>
      </c>
      <c r="N14" s="786">
        <v>6485127</v>
      </c>
      <c r="O14" s="786">
        <v>6433687</v>
      </c>
      <c r="P14" s="786"/>
      <c r="Q14" s="786">
        <v>6417637</v>
      </c>
      <c r="R14" s="448">
        <f>SUM(Q14/O14)</f>
        <v>0.9975053184900042</v>
      </c>
      <c r="S14" s="788"/>
      <c r="T14" s="785"/>
      <c r="U14" s="785"/>
      <c r="V14" s="785"/>
      <c r="W14" s="787"/>
    </row>
    <row r="15" spans="1:23" s="129" customFormat="1" ht="12" customHeight="1">
      <c r="A15" s="132"/>
      <c r="B15" s="131" t="s">
        <v>463</v>
      </c>
      <c r="C15" s="796" t="s">
        <v>300</v>
      </c>
      <c r="D15" s="788"/>
      <c r="E15" s="786">
        <v>100</v>
      </c>
      <c r="F15" s="786">
        <v>100</v>
      </c>
      <c r="G15" s="786">
        <v>100</v>
      </c>
      <c r="H15" s="786">
        <v>22</v>
      </c>
      <c r="I15" s="786"/>
      <c r="J15" s="1258">
        <f>SUM(H15/G15)</f>
        <v>0.22</v>
      </c>
      <c r="K15" s="1267"/>
      <c r="L15" s="799"/>
      <c r="M15" s="786">
        <v>100</v>
      </c>
      <c r="N15" s="786">
        <v>100</v>
      </c>
      <c r="O15" s="786">
        <v>100</v>
      </c>
      <c r="P15" s="786"/>
      <c r="Q15" s="786">
        <v>22</v>
      </c>
      <c r="R15" s="448">
        <f>SUM(Q15/O15)</f>
        <v>0.22</v>
      </c>
      <c r="S15" s="788"/>
      <c r="T15" s="785"/>
      <c r="U15" s="785"/>
      <c r="V15" s="785"/>
      <c r="W15" s="787"/>
    </row>
    <row r="16" spans="1:23" s="129" customFormat="1" ht="12" customHeight="1">
      <c r="A16" s="132"/>
      <c r="B16" s="131" t="s">
        <v>464</v>
      </c>
      <c r="C16" s="784" t="s">
        <v>459</v>
      </c>
      <c r="D16" s="788"/>
      <c r="E16" s="786"/>
      <c r="F16" s="786">
        <v>2175</v>
      </c>
      <c r="G16" s="786">
        <v>2175</v>
      </c>
      <c r="H16" s="786">
        <v>2128</v>
      </c>
      <c r="I16" s="786"/>
      <c r="J16" s="1258">
        <f>SUM(H16/G16)</f>
        <v>0.9783908045977011</v>
      </c>
      <c r="K16" s="1267"/>
      <c r="L16" s="799"/>
      <c r="M16" s="786"/>
      <c r="N16" s="786">
        <v>2175</v>
      </c>
      <c r="O16" s="786">
        <v>2175</v>
      </c>
      <c r="P16" s="786"/>
      <c r="Q16" s="786">
        <v>2128</v>
      </c>
      <c r="R16" s="448">
        <f>SUM(Q16/O16)</f>
        <v>0.9783908045977011</v>
      </c>
      <c r="S16" s="788"/>
      <c r="T16" s="785"/>
      <c r="U16" s="785"/>
      <c r="V16" s="785"/>
      <c r="W16" s="787"/>
    </row>
    <row r="17" spans="1:23" s="129" customFormat="1" ht="12" customHeight="1" thickBot="1">
      <c r="A17" s="800"/>
      <c r="B17" s="801"/>
      <c r="C17" s="789"/>
      <c r="D17" s="790"/>
      <c r="E17" s="792"/>
      <c r="F17" s="792"/>
      <c r="G17" s="792"/>
      <c r="H17" s="1273"/>
      <c r="I17" s="1273"/>
      <c r="J17" s="1275"/>
      <c r="K17" s="1276"/>
      <c r="L17" s="790"/>
      <c r="M17" s="792"/>
      <c r="N17" s="792"/>
      <c r="O17" s="792"/>
      <c r="P17" s="1273"/>
      <c r="Q17" s="1273"/>
      <c r="R17" s="791"/>
      <c r="S17" s="790"/>
      <c r="T17" s="792"/>
      <c r="U17" s="792"/>
      <c r="V17" s="792"/>
      <c r="W17" s="793"/>
    </row>
    <row r="18" spans="1:23" s="129" customFormat="1" ht="12" customHeight="1" thickBot="1">
      <c r="A18" s="121" t="s">
        <v>27</v>
      </c>
      <c r="B18" s="127"/>
      <c r="C18" s="438" t="s">
        <v>115</v>
      </c>
      <c r="D18" s="405">
        <f aca="true" t="shared" si="2" ref="D18:I18">D19+D21</f>
        <v>0</v>
      </c>
      <c r="E18" s="181">
        <f>E19+E21</f>
        <v>0</v>
      </c>
      <c r="F18" s="181">
        <f>F19+F21</f>
        <v>0</v>
      </c>
      <c r="G18" s="181">
        <f>G19+G21</f>
        <v>0</v>
      </c>
      <c r="H18" s="181">
        <f t="shared" si="2"/>
        <v>0</v>
      </c>
      <c r="I18" s="181">
        <f t="shared" si="2"/>
        <v>0</v>
      </c>
      <c r="J18" s="1260"/>
      <c r="K18" s="128">
        <f aca="true" t="shared" si="3" ref="K18:Q18">K19+K21</f>
        <v>0</v>
      </c>
      <c r="L18" s="405">
        <f t="shared" si="3"/>
        <v>0</v>
      </c>
      <c r="M18" s="181">
        <f t="shared" si="3"/>
        <v>0</v>
      </c>
      <c r="N18" s="181">
        <f>N19+N21</f>
        <v>0</v>
      </c>
      <c r="O18" s="181">
        <f>O19+O21</f>
        <v>0</v>
      </c>
      <c r="P18" s="181">
        <f t="shared" si="3"/>
        <v>0</v>
      </c>
      <c r="Q18" s="181">
        <f t="shared" si="3"/>
        <v>0</v>
      </c>
      <c r="R18" s="337"/>
      <c r="S18" s="405"/>
      <c r="T18" s="181"/>
      <c r="U18" s="181"/>
      <c r="V18" s="181"/>
      <c r="W18" s="128"/>
    </row>
    <row r="19" spans="1:23" s="134" customFormat="1" ht="12" customHeight="1">
      <c r="A19" s="132"/>
      <c r="B19" s="131" t="s">
        <v>38</v>
      </c>
      <c r="C19" s="417" t="s">
        <v>71</v>
      </c>
      <c r="D19" s="407"/>
      <c r="E19" s="182"/>
      <c r="F19" s="182"/>
      <c r="G19" s="182"/>
      <c r="H19" s="182"/>
      <c r="I19" s="182"/>
      <c r="J19" s="1261"/>
      <c r="K19" s="133"/>
      <c r="L19" s="407"/>
      <c r="M19" s="182"/>
      <c r="N19" s="182"/>
      <c r="O19" s="182"/>
      <c r="P19" s="182"/>
      <c r="Q19" s="182"/>
      <c r="R19" s="659"/>
      <c r="S19" s="407"/>
      <c r="T19" s="182"/>
      <c r="U19" s="182"/>
      <c r="V19" s="182"/>
      <c r="W19" s="133"/>
    </row>
    <row r="20" spans="1:23" s="134" customFormat="1" ht="12" customHeight="1">
      <c r="A20" s="132"/>
      <c r="B20" s="131" t="s">
        <v>39</v>
      </c>
      <c r="C20" s="418" t="s">
        <v>118</v>
      </c>
      <c r="D20" s="407"/>
      <c r="E20" s="182"/>
      <c r="F20" s="182"/>
      <c r="G20" s="182"/>
      <c r="H20" s="182"/>
      <c r="I20" s="182"/>
      <c r="J20" s="1261"/>
      <c r="K20" s="133"/>
      <c r="L20" s="407"/>
      <c r="M20" s="182"/>
      <c r="N20" s="182"/>
      <c r="O20" s="182"/>
      <c r="P20" s="182"/>
      <c r="Q20" s="182"/>
      <c r="R20" s="659"/>
      <c r="S20" s="407"/>
      <c r="T20" s="182"/>
      <c r="U20" s="182"/>
      <c r="V20" s="182"/>
      <c r="W20" s="133"/>
    </row>
    <row r="21" spans="1:23" s="134" customFormat="1" ht="12" customHeight="1">
      <c r="A21" s="132"/>
      <c r="B21" s="131" t="s">
        <v>40</v>
      </c>
      <c r="C21" s="418" t="s">
        <v>72</v>
      </c>
      <c r="D21" s="407"/>
      <c r="E21" s="182"/>
      <c r="F21" s="182"/>
      <c r="G21" s="182"/>
      <c r="H21" s="182"/>
      <c r="I21" s="182"/>
      <c r="J21" s="1261"/>
      <c r="K21" s="133"/>
      <c r="L21" s="407"/>
      <c r="M21" s="182"/>
      <c r="N21" s="182"/>
      <c r="O21" s="182"/>
      <c r="P21" s="182"/>
      <c r="Q21" s="182"/>
      <c r="R21" s="659"/>
      <c r="S21" s="407"/>
      <c r="T21" s="182"/>
      <c r="U21" s="182"/>
      <c r="V21" s="182"/>
      <c r="W21" s="133"/>
    </row>
    <row r="22" spans="1:23" s="134" customFormat="1" ht="12" customHeight="1" thickBot="1">
      <c r="A22" s="132"/>
      <c r="B22" s="131" t="s">
        <v>261</v>
      </c>
      <c r="C22" s="418" t="s">
        <v>118</v>
      </c>
      <c r="D22" s="407"/>
      <c r="E22" s="182"/>
      <c r="F22" s="182"/>
      <c r="G22" s="182"/>
      <c r="H22" s="182"/>
      <c r="I22" s="182"/>
      <c r="J22" s="1261"/>
      <c r="K22" s="133"/>
      <c r="L22" s="407"/>
      <c r="M22" s="182"/>
      <c r="N22" s="182"/>
      <c r="O22" s="182"/>
      <c r="P22" s="182"/>
      <c r="Q22" s="182"/>
      <c r="R22" s="659"/>
      <c r="S22" s="407"/>
      <c r="T22" s="182"/>
      <c r="U22" s="182"/>
      <c r="V22" s="182"/>
      <c r="W22" s="133"/>
    </row>
    <row r="23" spans="1:23" s="134" customFormat="1" ht="12" customHeight="1" thickBot="1">
      <c r="A23" s="136" t="s">
        <v>9</v>
      </c>
      <c r="B23" s="137"/>
      <c r="C23" s="416" t="s">
        <v>121</v>
      </c>
      <c r="D23" s="405">
        <f aca="true" t="shared" si="4" ref="D23:I23">SUM(D24:D25)</f>
        <v>0</v>
      </c>
      <c r="E23" s="181">
        <f>SUM(E24:E25)</f>
        <v>0</v>
      </c>
      <c r="F23" s="181">
        <f>SUM(F24:F25)</f>
        <v>0</v>
      </c>
      <c r="G23" s="181">
        <f>SUM(G24:G25)</f>
        <v>0</v>
      </c>
      <c r="H23" s="181">
        <f t="shared" si="4"/>
        <v>0</v>
      </c>
      <c r="I23" s="181">
        <f t="shared" si="4"/>
        <v>0</v>
      </c>
      <c r="J23" s="1260"/>
      <c r="K23" s="128">
        <f aca="true" t="shared" si="5" ref="K23:Q23">SUM(K24:K25)</f>
        <v>0</v>
      </c>
      <c r="L23" s="405">
        <f t="shared" si="5"/>
        <v>0</v>
      </c>
      <c r="M23" s="181">
        <f t="shared" si="5"/>
        <v>0</v>
      </c>
      <c r="N23" s="181">
        <f>SUM(N24:N25)</f>
        <v>0</v>
      </c>
      <c r="O23" s="181">
        <f>SUM(O24:O25)</f>
        <v>0</v>
      </c>
      <c r="P23" s="181">
        <f t="shared" si="5"/>
        <v>0</v>
      </c>
      <c r="Q23" s="181">
        <f t="shared" si="5"/>
        <v>0</v>
      </c>
      <c r="R23" s="337"/>
      <c r="S23" s="405"/>
      <c r="T23" s="181"/>
      <c r="U23" s="181"/>
      <c r="V23" s="181"/>
      <c r="W23" s="128"/>
    </row>
    <row r="24" spans="1:23" s="129" customFormat="1" ht="12" customHeight="1">
      <c r="A24" s="138"/>
      <c r="B24" s="139" t="s">
        <v>41</v>
      </c>
      <c r="C24" s="439" t="s">
        <v>123</v>
      </c>
      <c r="D24" s="408"/>
      <c r="E24" s="183"/>
      <c r="F24" s="183"/>
      <c r="G24" s="183"/>
      <c r="H24" s="183"/>
      <c r="I24" s="183"/>
      <c r="J24" s="1262"/>
      <c r="K24" s="140"/>
      <c r="L24" s="408"/>
      <c r="M24" s="183"/>
      <c r="N24" s="183"/>
      <c r="O24" s="183"/>
      <c r="P24" s="183"/>
      <c r="Q24" s="183"/>
      <c r="R24" s="660"/>
      <c r="S24" s="408"/>
      <c r="T24" s="183"/>
      <c r="U24" s="183"/>
      <c r="V24" s="183"/>
      <c r="W24" s="140"/>
    </row>
    <row r="25" spans="1:23" s="129" customFormat="1" ht="12" customHeight="1" thickBot="1">
      <c r="A25" s="141"/>
      <c r="B25" s="142" t="s">
        <v>42</v>
      </c>
      <c r="C25" s="440" t="s">
        <v>125</v>
      </c>
      <c r="D25" s="409"/>
      <c r="E25" s="184"/>
      <c r="F25" s="184"/>
      <c r="G25" s="184"/>
      <c r="H25" s="184"/>
      <c r="I25" s="184"/>
      <c r="J25" s="1263"/>
      <c r="K25" s="143"/>
      <c r="L25" s="409"/>
      <c r="M25" s="184"/>
      <c r="N25" s="184"/>
      <c r="O25" s="184"/>
      <c r="P25" s="184"/>
      <c r="Q25" s="184"/>
      <c r="R25" s="661"/>
      <c r="S25" s="409"/>
      <c r="T25" s="184"/>
      <c r="U25" s="184"/>
      <c r="V25" s="184"/>
      <c r="W25" s="143"/>
    </row>
    <row r="26" spans="1:23" s="129" customFormat="1" ht="12" customHeight="1" thickBot="1">
      <c r="A26" s="136"/>
      <c r="B26" s="127"/>
      <c r="D26" s="410"/>
      <c r="E26" s="185"/>
      <c r="F26" s="185"/>
      <c r="G26" s="185"/>
      <c r="H26" s="185"/>
      <c r="I26" s="185"/>
      <c r="J26" s="1264"/>
      <c r="K26" s="144"/>
      <c r="L26" s="410"/>
      <c r="M26" s="185"/>
      <c r="N26" s="185"/>
      <c r="O26" s="185"/>
      <c r="P26" s="185"/>
      <c r="Q26" s="185"/>
      <c r="R26" s="662"/>
      <c r="S26" s="410"/>
      <c r="T26" s="185"/>
      <c r="U26" s="185"/>
      <c r="V26" s="185"/>
      <c r="W26" s="144"/>
    </row>
    <row r="27" spans="1:23" s="129" customFormat="1" ht="12" customHeight="1" thickBot="1">
      <c r="A27" s="121" t="s">
        <v>10</v>
      </c>
      <c r="B27" s="145"/>
      <c r="C27" s="416" t="s">
        <v>262</v>
      </c>
      <c r="D27" s="405">
        <f aca="true" t="shared" si="6" ref="D27:I27">D9+D18+D23+D26</f>
        <v>34373894</v>
      </c>
      <c r="E27" s="181">
        <f>E9+E18+E23+E26</f>
        <v>34373994</v>
      </c>
      <c r="F27" s="181">
        <f>F9+F18+F23+F26</f>
        <v>34376169</v>
      </c>
      <c r="G27" s="181">
        <f>G9+G18+G23+G26</f>
        <v>32058255</v>
      </c>
      <c r="H27" s="181">
        <f t="shared" si="6"/>
        <v>31982630</v>
      </c>
      <c r="I27" s="181">
        <f t="shared" si="6"/>
        <v>0</v>
      </c>
      <c r="J27" s="1728">
        <f>SUM(H27/G27)</f>
        <v>0.9976410132117297</v>
      </c>
      <c r="K27" s="128">
        <f aca="true" t="shared" si="7" ref="K27:Q27">K9+K18+K23+K26</f>
        <v>0</v>
      </c>
      <c r="L27" s="405">
        <f t="shared" si="7"/>
        <v>34373894</v>
      </c>
      <c r="M27" s="181">
        <f t="shared" si="7"/>
        <v>34373994</v>
      </c>
      <c r="N27" s="181">
        <f>N9+N18+N23+N26</f>
        <v>34376169</v>
      </c>
      <c r="O27" s="181">
        <f>O9+O18+O23+O26</f>
        <v>32058255</v>
      </c>
      <c r="P27" s="181">
        <f t="shared" si="7"/>
        <v>0</v>
      </c>
      <c r="Q27" s="181">
        <f t="shared" si="7"/>
        <v>31982630</v>
      </c>
      <c r="R27" s="1728">
        <f>SUM(Q27/O27)</f>
        <v>0.9976410132117297</v>
      </c>
      <c r="S27" s="405"/>
      <c r="T27" s="181"/>
      <c r="U27" s="181"/>
      <c r="V27" s="181"/>
      <c r="W27" s="128"/>
    </row>
    <row r="28" spans="1:23" s="134" customFormat="1" ht="12" customHeight="1" thickBot="1">
      <c r="A28" s="146" t="s">
        <v>11</v>
      </c>
      <c r="B28" s="147"/>
      <c r="C28" s="441" t="s">
        <v>263</v>
      </c>
      <c r="D28" s="411">
        <f aca="true" t="shared" si="8" ref="D28:I28">SUM(D29:D31)</f>
        <v>133795618</v>
      </c>
      <c r="E28" s="186">
        <f>SUM(E29:E31)</f>
        <v>133795618</v>
      </c>
      <c r="F28" s="186">
        <f>SUM(F29:F31)</f>
        <v>132261934</v>
      </c>
      <c r="G28" s="1724">
        <f>SUM(G29:G31)</f>
        <v>123164350</v>
      </c>
      <c r="H28" s="1726">
        <f t="shared" si="8"/>
        <v>123164350</v>
      </c>
      <c r="I28" s="186">
        <f t="shared" si="8"/>
        <v>0</v>
      </c>
      <c r="J28" s="1260">
        <f>SUM(H28/G28)</f>
        <v>1</v>
      </c>
      <c r="K28" s="536">
        <f aca="true" t="shared" si="9" ref="K28:Q28">SUM(K29:K31)</f>
        <v>0</v>
      </c>
      <c r="L28" s="411">
        <f t="shared" si="9"/>
        <v>133795618</v>
      </c>
      <c r="M28" s="186">
        <f t="shared" si="9"/>
        <v>133795618</v>
      </c>
      <c r="N28" s="186">
        <f>SUM(N29:N31)</f>
        <v>132261934</v>
      </c>
      <c r="O28" s="186">
        <f>SUM(O29:O31)</f>
        <v>123164350</v>
      </c>
      <c r="P28" s="186">
        <f t="shared" si="9"/>
        <v>0</v>
      </c>
      <c r="Q28" s="186">
        <f t="shared" si="9"/>
        <v>123164350</v>
      </c>
      <c r="R28" s="1728">
        <f>SUM(Q28/O28)</f>
        <v>1</v>
      </c>
      <c r="S28" s="405"/>
      <c r="T28" s="181"/>
      <c r="U28" s="181"/>
      <c r="V28" s="181"/>
      <c r="W28" s="128"/>
    </row>
    <row r="29" spans="1:23" s="134" customFormat="1" ht="15" customHeight="1" thickBot="1">
      <c r="A29" s="130"/>
      <c r="B29" s="148" t="s">
        <v>43</v>
      </c>
      <c r="C29" s="439" t="s">
        <v>130</v>
      </c>
      <c r="D29" s="863">
        <v>2283262</v>
      </c>
      <c r="E29" s="1273">
        <v>2283262</v>
      </c>
      <c r="F29" s="1273">
        <v>2283262</v>
      </c>
      <c r="G29" s="1273">
        <v>4505618</v>
      </c>
      <c r="H29" s="1277">
        <v>4505618</v>
      </c>
      <c r="I29" s="1277"/>
      <c r="J29" s="1257">
        <f>SUM(H29/G29)</f>
        <v>1</v>
      </c>
      <c r="K29" s="1278"/>
      <c r="L29" s="863">
        <v>2283262</v>
      </c>
      <c r="M29" s="1273">
        <v>2283262</v>
      </c>
      <c r="N29" s="1273">
        <v>2283262</v>
      </c>
      <c r="O29" s="1273">
        <v>4505618</v>
      </c>
      <c r="P29" s="183"/>
      <c r="Q29" s="1277">
        <v>4505618</v>
      </c>
      <c r="R29" s="1727">
        <f>SUM(Q29/O29)</f>
        <v>1</v>
      </c>
      <c r="S29" s="414"/>
      <c r="T29" s="415"/>
      <c r="U29" s="415"/>
      <c r="V29" s="415"/>
      <c r="W29" s="241"/>
    </row>
    <row r="30" spans="1:23" s="134" customFormat="1" ht="15" customHeight="1">
      <c r="A30" s="537"/>
      <c r="B30" s="538" t="s">
        <v>44</v>
      </c>
      <c r="C30" s="439" t="s">
        <v>444</v>
      </c>
      <c r="D30" s="408">
        <v>131512356</v>
      </c>
      <c r="E30" s="183">
        <v>131512356</v>
      </c>
      <c r="F30" s="183">
        <v>129978672</v>
      </c>
      <c r="G30" s="183">
        <v>118658732</v>
      </c>
      <c r="H30" s="183">
        <v>118658732</v>
      </c>
      <c r="I30" s="183"/>
      <c r="J30" s="1258">
        <f>SUM(H30/G30)</f>
        <v>1</v>
      </c>
      <c r="K30" s="140"/>
      <c r="L30" s="408">
        <v>131512356</v>
      </c>
      <c r="M30" s="183">
        <v>131512356</v>
      </c>
      <c r="N30" s="183">
        <v>129978672</v>
      </c>
      <c r="O30" s="183">
        <v>118658732</v>
      </c>
      <c r="P30" s="540"/>
      <c r="Q30" s="183">
        <v>118658732</v>
      </c>
      <c r="R30" s="1727">
        <f>SUM(Q30/O30)</f>
        <v>1</v>
      </c>
      <c r="S30" s="541"/>
      <c r="T30" s="542"/>
      <c r="U30" s="542"/>
      <c r="V30" s="542"/>
      <c r="W30" s="543"/>
    </row>
    <row r="31" spans="1:23" s="134" customFormat="1" ht="15" customHeight="1" thickBot="1">
      <c r="A31" s="149"/>
      <c r="B31" s="150" t="s">
        <v>70</v>
      </c>
      <c r="C31" s="442" t="s">
        <v>132</v>
      </c>
      <c r="D31" s="412"/>
      <c r="E31" s="187"/>
      <c r="F31" s="187"/>
      <c r="G31" s="187"/>
      <c r="H31" s="187"/>
      <c r="I31" s="187"/>
      <c r="J31" s="1265"/>
      <c r="K31" s="151"/>
      <c r="L31" s="412"/>
      <c r="M31" s="187"/>
      <c r="N31" s="187"/>
      <c r="O31" s="187"/>
      <c r="P31" s="187"/>
      <c r="Q31" s="187"/>
      <c r="R31" s="663"/>
      <c r="S31" s="412"/>
      <c r="T31" s="187"/>
      <c r="U31" s="187"/>
      <c r="V31" s="187"/>
      <c r="W31" s="151"/>
    </row>
    <row r="32" spans="1:23" ht="13.5" thickBot="1">
      <c r="A32" s="152" t="s">
        <v>12</v>
      </c>
      <c r="B32" s="272"/>
      <c r="C32" s="420" t="s">
        <v>133</v>
      </c>
      <c r="D32" s="410"/>
      <c r="E32" s="185"/>
      <c r="F32" s="185"/>
      <c r="G32" s="185"/>
      <c r="H32" s="185"/>
      <c r="I32" s="185"/>
      <c r="J32" s="1264"/>
      <c r="K32" s="144"/>
      <c r="L32" s="410"/>
      <c r="M32" s="185"/>
      <c r="N32" s="185"/>
      <c r="O32" s="185"/>
      <c r="P32" s="185"/>
      <c r="Q32" s="185"/>
      <c r="R32" s="662"/>
      <c r="S32" s="410"/>
      <c r="T32" s="185"/>
      <c r="U32" s="185"/>
      <c r="V32" s="185"/>
      <c r="W32" s="144"/>
    </row>
    <row r="33" spans="1:23" s="124" customFormat="1" ht="16.5" customHeight="1" thickBot="1">
      <c r="A33" s="152">
        <v>7</v>
      </c>
      <c r="B33" s="273"/>
      <c r="C33" s="443" t="s">
        <v>264</v>
      </c>
      <c r="D33" s="413">
        <f aca="true" t="shared" si="10" ref="D33:I33">D27+D32+D28</f>
        <v>168169512</v>
      </c>
      <c r="E33" s="188">
        <f>E27+E32+E28</f>
        <v>168169612</v>
      </c>
      <c r="F33" s="188">
        <f>F27+F32+F28</f>
        <v>166638103</v>
      </c>
      <c r="G33" s="188">
        <f>G27+G32+G28</f>
        <v>155222605</v>
      </c>
      <c r="H33" s="188">
        <f t="shared" si="10"/>
        <v>155146980</v>
      </c>
      <c r="I33" s="188">
        <f t="shared" si="10"/>
        <v>0</v>
      </c>
      <c r="J33" s="1728">
        <f>SUM(H33/G33)</f>
        <v>0.9995127964770337</v>
      </c>
      <c r="K33" s="173">
        <f aca="true" t="shared" si="11" ref="K33:Q33">K27+K32+K28</f>
        <v>0</v>
      </c>
      <c r="L33" s="413">
        <f t="shared" si="11"/>
        <v>168169512</v>
      </c>
      <c r="M33" s="188">
        <f t="shared" si="11"/>
        <v>168169612</v>
      </c>
      <c r="N33" s="188">
        <f>N27+N32+N28</f>
        <v>166638103</v>
      </c>
      <c r="O33" s="188">
        <f>O27+O32+O28</f>
        <v>155222605</v>
      </c>
      <c r="P33" s="188">
        <f t="shared" si="11"/>
        <v>0</v>
      </c>
      <c r="Q33" s="188">
        <f t="shared" si="11"/>
        <v>155146980</v>
      </c>
      <c r="R33" s="1728">
        <f>SUM(Q33/O33)</f>
        <v>0.9995127964770337</v>
      </c>
      <c r="S33" s="413"/>
      <c r="T33" s="188"/>
      <c r="U33" s="188"/>
      <c r="V33" s="188"/>
      <c r="W33" s="173"/>
    </row>
    <row r="34" spans="1:23" s="159" customFormat="1" ht="12" customHeight="1">
      <c r="A34" s="156"/>
      <c r="B34" s="156"/>
      <c r="C34" s="157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</row>
    <row r="35" spans="1:23" ht="12" customHeight="1" thickBot="1">
      <c r="A35" s="160"/>
      <c r="B35" s="161"/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" customHeight="1" thickBot="1">
      <c r="A36" s="163"/>
      <c r="B36" s="164"/>
      <c r="C36" s="165" t="s">
        <v>135</v>
      </c>
      <c r="D36" s="413"/>
      <c r="E36" s="188"/>
      <c r="F36" s="188"/>
      <c r="G36" s="173"/>
      <c r="H36" s="242"/>
      <c r="I36" s="188"/>
      <c r="J36" s="188"/>
      <c r="K36" s="173"/>
      <c r="L36" s="413"/>
      <c r="M36" s="188"/>
      <c r="N36" s="188"/>
      <c r="O36" s="173"/>
      <c r="P36" s="242"/>
      <c r="Q36" s="188"/>
      <c r="R36" s="173"/>
      <c r="S36" s="413"/>
      <c r="T36" s="188"/>
      <c r="U36" s="188"/>
      <c r="V36" s="173"/>
      <c r="W36" s="155"/>
    </row>
    <row r="37" spans="1:23" ht="12" customHeight="1" thickBot="1">
      <c r="A37" s="136" t="s">
        <v>26</v>
      </c>
      <c r="B37" s="166"/>
      <c r="C37" s="416" t="s">
        <v>136</v>
      </c>
      <c r="D37" s="405">
        <f aca="true" t="shared" si="12" ref="D37:I37">SUM(D38:D42)</f>
        <v>166074212</v>
      </c>
      <c r="E37" s="181">
        <f>SUM(E38:E42)</f>
        <v>166074312</v>
      </c>
      <c r="F37" s="181">
        <f>SUM(F38:F42)</f>
        <v>164542803</v>
      </c>
      <c r="G37" s="128">
        <f>SUM(G38:G42)</f>
        <v>154568934</v>
      </c>
      <c r="H37" s="240">
        <f t="shared" si="12"/>
        <v>151549498</v>
      </c>
      <c r="I37" s="405">
        <f t="shared" si="12"/>
        <v>0</v>
      </c>
      <c r="J37" s="1728">
        <f>SUM(H37/G37)</f>
        <v>0.9804654407463275</v>
      </c>
      <c r="K37" s="399">
        <f aca="true" t="shared" si="13" ref="K37:Q37">SUM(K38:K42)</f>
        <v>0</v>
      </c>
      <c r="L37" s="405">
        <f t="shared" si="13"/>
        <v>166074212</v>
      </c>
      <c r="M37" s="181">
        <f t="shared" si="13"/>
        <v>166074312</v>
      </c>
      <c r="N37" s="181">
        <f>SUM(N38:N42)</f>
        <v>164542803</v>
      </c>
      <c r="O37" s="128">
        <f>SUM(O38:O42)</f>
        <v>154568934</v>
      </c>
      <c r="P37" s="240">
        <f t="shared" si="13"/>
        <v>0</v>
      </c>
      <c r="Q37" s="405">
        <f t="shared" si="13"/>
        <v>151549498</v>
      </c>
      <c r="R37" s="1728">
        <f>SUM(Q37/O37)</f>
        <v>0.9804654407463275</v>
      </c>
      <c r="S37" s="405"/>
      <c r="T37" s="181"/>
      <c r="U37" s="181"/>
      <c r="V37" s="128"/>
      <c r="W37" s="399"/>
    </row>
    <row r="38" spans="1:23" ht="12" customHeight="1">
      <c r="A38" s="167"/>
      <c r="B38" s="168" t="s">
        <v>110</v>
      </c>
      <c r="C38" s="417" t="s">
        <v>137</v>
      </c>
      <c r="D38" s="423">
        <v>92551869</v>
      </c>
      <c r="E38" s="189">
        <v>92551869</v>
      </c>
      <c r="F38" s="189">
        <v>92551869</v>
      </c>
      <c r="G38" s="1268">
        <v>90241869</v>
      </c>
      <c r="H38" s="1253">
        <v>88667745</v>
      </c>
      <c r="I38" s="189"/>
      <c r="J38" s="1258">
        <f>SUM(H38/G38)</f>
        <v>0.9825566112776322</v>
      </c>
      <c r="K38" s="679"/>
      <c r="L38" s="423">
        <v>92551869</v>
      </c>
      <c r="M38" s="189">
        <v>92551869</v>
      </c>
      <c r="N38" s="189">
        <v>92551869</v>
      </c>
      <c r="O38" s="1268">
        <v>90241869</v>
      </c>
      <c r="P38" s="1253"/>
      <c r="Q38" s="1253">
        <v>88667745</v>
      </c>
      <c r="R38" s="448">
        <f>SUM(Q38/O38)</f>
        <v>0.9825566112776322</v>
      </c>
      <c r="S38" s="407"/>
      <c r="T38" s="182"/>
      <c r="U38" s="182"/>
      <c r="V38" s="133"/>
      <c r="W38" s="430"/>
    </row>
    <row r="39" spans="1:23" ht="12" customHeight="1">
      <c r="A39" s="169"/>
      <c r="B39" s="170" t="s">
        <v>111</v>
      </c>
      <c r="C39" s="418" t="s">
        <v>50</v>
      </c>
      <c r="D39" s="424">
        <v>15946457</v>
      </c>
      <c r="E39" s="190">
        <v>15946457</v>
      </c>
      <c r="F39" s="190">
        <v>15946457</v>
      </c>
      <c r="G39" s="171">
        <v>15316457</v>
      </c>
      <c r="H39" s="1270">
        <v>14940986</v>
      </c>
      <c r="I39" s="190"/>
      <c r="J39" s="1258">
        <f>SUM(H39/G39)</f>
        <v>0.9754857797726981</v>
      </c>
      <c r="K39" s="431"/>
      <c r="L39" s="424">
        <v>15946457</v>
      </c>
      <c r="M39" s="190">
        <v>15946457</v>
      </c>
      <c r="N39" s="190">
        <v>15946457</v>
      </c>
      <c r="O39" s="171">
        <v>15316457</v>
      </c>
      <c r="P39" s="1270"/>
      <c r="Q39" s="1270">
        <v>14940986</v>
      </c>
      <c r="R39" s="448">
        <f>SUM(Q39/O39)</f>
        <v>0.9754857797726981</v>
      </c>
      <c r="S39" s="407"/>
      <c r="T39" s="182"/>
      <c r="U39" s="182"/>
      <c r="V39" s="133"/>
      <c r="W39" s="430"/>
    </row>
    <row r="40" spans="1:23" ht="12" customHeight="1">
      <c r="A40" s="169"/>
      <c r="B40" s="170" t="s">
        <v>112</v>
      </c>
      <c r="C40" s="418" t="s">
        <v>138</v>
      </c>
      <c r="D40" s="424">
        <v>57575886</v>
      </c>
      <c r="E40" s="190">
        <v>57575986</v>
      </c>
      <c r="F40" s="190">
        <v>56044477</v>
      </c>
      <c r="G40" s="171">
        <v>49010608</v>
      </c>
      <c r="H40" s="1270">
        <v>47940767</v>
      </c>
      <c r="I40" s="190"/>
      <c r="J40" s="1258">
        <f>SUM(H40/G40)</f>
        <v>0.9781712359087649</v>
      </c>
      <c r="K40" s="431"/>
      <c r="L40" s="424">
        <v>57575886</v>
      </c>
      <c r="M40" s="190">
        <v>57575986</v>
      </c>
      <c r="N40" s="190">
        <v>56044477</v>
      </c>
      <c r="O40" s="171">
        <v>49010608</v>
      </c>
      <c r="P40" s="1270"/>
      <c r="Q40" s="1270">
        <v>47940767</v>
      </c>
      <c r="R40" s="448">
        <f>SUM(Q40/O40)</f>
        <v>0.9781712359087649</v>
      </c>
      <c r="S40" s="407"/>
      <c r="T40" s="182"/>
      <c r="U40" s="182"/>
      <c r="V40" s="133"/>
      <c r="W40" s="430"/>
    </row>
    <row r="41" spans="1:23" s="159" customFormat="1" ht="12" customHeight="1">
      <c r="A41" s="169"/>
      <c r="B41" s="170" t="s">
        <v>113</v>
      </c>
      <c r="C41" s="418" t="s">
        <v>80</v>
      </c>
      <c r="D41" s="424"/>
      <c r="E41" s="190"/>
      <c r="F41" s="190"/>
      <c r="G41" s="171"/>
      <c r="H41" s="1270"/>
      <c r="I41" s="190"/>
      <c r="J41" s="190"/>
      <c r="K41" s="431"/>
      <c r="L41" s="424"/>
      <c r="M41" s="190"/>
      <c r="N41" s="190"/>
      <c r="O41" s="171"/>
      <c r="P41" s="1270"/>
      <c r="Q41" s="190"/>
      <c r="R41" s="190"/>
      <c r="S41" s="407"/>
      <c r="T41" s="182"/>
      <c r="U41" s="182"/>
      <c r="V41" s="133"/>
      <c r="W41" s="430"/>
    </row>
    <row r="42" spans="1:23" ht="12" customHeight="1" thickBot="1">
      <c r="A42" s="169"/>
      <c r="B42" s="170" t="s">
        <v>49</v>
      </c>
      <c r="C42" s="418" t="s">
        <v>82</v>
      </c>
      <c r="D42" s="424"/>
      <c r="E42" s="190"/>
      <c r="F42" s="190"/>
      <c r="G42" s="171"/>
      <c r="H42" s="1270"/>
      <c r="I42" s="190"/>
      <c r="J42" s="681"/>
      <c r="K42" s="431"/>
      <c r="L42" s="424"/>
      <c r="M42" s="190"/>
      <c r="N42" s="190"/>
      <c r="O42" s="171"/>
      <c r="P42" s="1270"/>
      <c r="Q42" s="190"/>
      <c r="R42" s="681"/>
      <c r="S42" s="424"/>
      <c r="T42" s="190"/>
      <c r="U42" s="190"/>
      <c r="V42" s="171"/>
      <c r="W42" s="431"/>
    </row>
    <row r="43" spans="1:23" ht="12" customHeight="1" thickBot="1">
      <c r="A43" s="136" t="s">
        <v>27</v>
      </c>
      <c r="B43" s="166"/>
      <c r="C43" s="416" t="s">
        <v>139</v>
      </c>
      <c r="D43" s="405">
        <f aca="true" t="shared" si="14" ref="D43:I43">SUM(D44:D48)</f>
        <v>2095300</v>
      </c>
      <c r="E43" s="181">
        <f>SUM(E44:E48)</f>
        <v>2095300</v>
      </c>
      <c r="F43" s="181">
        <f>SUM(F44:F48)</f>
        <v>2095300</v>
      </c>
      <c r="G43" s="128">
        <f>SUM(G44:G48)</f>
        <v>653671</v>
      </c>
      <c r="H43" s="240">
        <f t="shared" si="14"/>
        <v>653671</v>
      </c>
      <c r="I43" s="405">
        <f t="shared" si="14"/>
        <v>0</v>
      </c>
      <c r="J43" s="1728">
        <f>SUM(H43/G43)</f>
        <v>1</v>
      </c>
      <c r="K43" s="399">
        <f aca="true" t="shared" si="15" ref="K43:Q43">SUM(K44:K48)</f>
        <v>0</v>
      </c>
      <c r="L43" s="405">
        <f t="shared" si="15"/>
        <v>2095300</v>
      </c>
      <c r="M43" s="181">
        <f t="shared" si="15"/>
        <v>2095300</v>
      </c>
      <c r="N43" s="181">
        <f>SUM(N44:N48)</f>
        <v>2095300</v>
      </c>
      <c r="O43" s="128">
        <f>SUM(O44:O48)</f>
        <v>653671</v>
      </c>
      <c r="P43" s="240">
        <f t="shared" si="15"/>
        <v>0</v>
      </c>
      <c r="Q43" s="405">
        <f t="shared" si="15"/>
        <v>653671</v>
      </c>
      <c r="R43" s="1728">
        <f>SUM(Q43/O43)</f>
        <v>1</v>
      </c>
      <c r="S43" s="405"/>
      <c r="T43" s="181"/>
      <c r="U43" s="181"/>
      <c r="V43" s="128"/>
      <c r="W43" s="399"/>
    </row>
    <row r="44" spans="1:23" ht="12" customHeight="1">
      <c r="A44" s="167"/>
      <c r="B44" s="168" t="s">
        <v>140</v>
      </c>
      <c r="C44" s="417" t="s">
        <v>92</v>
      </c>
      <c r="D44" s="423">
        <v>2095300</v>
      </c>
      <c r="E44" s="189">
        <v>2095300</v>
      </c>
      <c r="F44" s="189">
        <v>2095300</v>
      </c>
      <c r="G44" s="1268">
        <v>653671</v>
      </c>
      <c r="H44" s="1253">
        <v>653671</v>
      </c>
      <c r="I44" s="189"/>
      <c r="J44" s="1258">
        <f>SUM(H44/G44)</f>
        <v>1</v>
      </c>
      <c r="K44" s="679"/>
      <c r="L44" s="423">
        <v>2095300</v>
      </c>
      <c r="M44" s="189">
        <v>2095300</v>
      </c>
      <c r="N44" s="189">
        <v>2095300</v>
      </c>
      <c r="O44" s="1268">
        <v>653671</v>
      </c>
      <c r="P44" s="1253"/>
      <c r="Q44" s="1253">
        <v>653671</v>
      </c>
      <c r="R44" s="426">
        <f>SUM(Q44/O44)</f>
        <v>1</v>
      </c>
      <c r="S44" s="407"/>
      <c r="T44" s="182"/>
      <c r="U44" s="182"/>
      <c r="V44" s="133"/>
      <c r="W44" s="430"/>
    </row>
    <row r="45" spans="1:23" ht="12" customHeight="1">
      <c r="A45" s="167"/>
      <c r="B45" s="168"/>
      <c r="C45" s="417" t="s">
        <v>336</v>
      </c>
      <c r="D45" s="423"/>
      <c r="E45" s="189"/>
      <c r="F45" s="189"/>
      <c r="G45" s="1268"/>
      <c r="H45" s="1253"/>
      <c r="I45" s="189"/>
      <c r="J45" s="189"/>
      <c r="K45" s="679"/>
      <c r="L45" s="423"/>
      <c r="M45" s="189"/>
      <c r="N45" s="189"/>
      <c r="O45" s="1268"/>
      <c r="P45" s="1253"/>
      <c r="Q45" s="189"/>
      <c r="R45" s="189"/>
      <c r="S45" s="407"/>
      <c r="T45" s="182"/>
      <c r="U45" s="182"/>
      <c r="V45" s="133"/>
      <c r="W45" s="430"/>
    </row>
    <row r="46" spans="1:23" ht="12" customHeight="1">
      <c r="A46" s="169"/>
      <c r="B46" s="170" t="s">
        <v>141</v>
      </c>
      <c r="C46" s="418" t="s">
        <v>93</v>
      </c>
      <c r="D46" s="424"/>
      <c r="E46" s="190"/>
      <c r="F46" s="190"/>
      <c r="G46" s="171"/>
      <c r="H46" s="1270"/>
      <c r="I46" s="190"/>
      <c r="J46" s="190"/>
      <c r="K46" s="431"/>
      <c r="L46" s="424"/>
      <c r="M46" s="190"/>
      <c r="N46" s="190"/>
      <c r="O46" s="171"/>
      <c r="P46" s="1270"/>
      <c r="Q46" s="190"/>
      <c r="R46" s="190"/>
      <c r="S46" s="424"/>
      <c r="T46" s="190"/>
      <c r="U46" s="190"/>
      <c r="V46" s="171"/>
      <c r="W46" s="431"/>
    </row>
    <row r="47" spans="1:23" ht="15" customHeight="1">
      <c r="A47" s="169"/>
      <c r="B47" s="170" t="s">
        <v>40</v>
      </c>
      <c r="C47" s="418" t="s">
        <v>143</v>
      </c>
      <c r="D47" s="424"/>
      <c r="E47" s="190"/>
      <c r="F47" s="190"/>
      <c r="G47" s="171"/>
      <c r="H47" s="1270"/>
      <c r="I47" s="190"/>
      <c r="J47" s="190"/>
      <c r="K47" s="431"/>
      <c r="L47" s="424"/>
      <c r="M47" s="190"/>
      <c r="N47" s="190"/>
      <c r="O47" s="171"/>
      <c r="P47" s="1270"/>
      <c r="Q47" s="190"/>
      <c r="R47" s="190"/>
      <c r="S47" s="424"/>
      <c r="T47" s="190"/>
      <c r="U47" s="190"/>
      <c r="V47" s="171"/>
      <c r="W47" s="431"/>
    </row>
    <row r="48" spans="1:23" ht="13.5" thickBot="1">
      <c r="A48" s="169"/>
      <c r="B48" s="170" t="s">
        <v>261</v>
      </c>
      <c r="C48" s="418" t="s">
        <v>145</v>
      </c>
      <c r="D48" s="424"/>
      <c r="E48" s="190"/>
      <c r="F48" s="190"/>
      <c r="G48" s="171"/>
      <c r="H48" s="1270"/>
      <c r="I48" s="190"/>
      <c r="J48" s="190"/>
      <c r="K48" s="431"/>
      <c r="L48" s="424"/>
      <c r="M48" s="190"/>
      <c r="N48" s="190"/>
      <c r="O48" s="171"/>
      <c r="P48" s="1270"/>
      <c r="Q48" s="190"/>
      <c r="R48" s="190"/>
      <c r="S48" s="424"/>
      <c r="T48" s="190"/>
      <c r="U48" s="190"/>
      <c r="V48" s="171"/>
      <c r="W48" s="431"/>
    </row>
    <row r="49" spans="1:23" ht="15" customHeight="1" thickBot="1">
      <c r="A49" s="136" t="s">
        <v>9</v>
      </c>
      <c r="B49" s="166"/>
      <c r="C49" s="419" t="s">
        <v>146</v>
      </c>
      <c r="D49" s="410"/>
      <c r="E49" s="185"/>
      <c r="F49" s="185"/>
      <c r="G49" s="144"/>
      <c r="H49" s="237"/>
      <c r="I49" s="185"/>
      <c r="J49" s="185"/>
      <c r="K49" s="400"/>
      <c r="L49" s="410"/>
      <c r="M49" s="185"/>
      <c r="N49" s="185"/>
      <c r="O49" s="144"/>
      <c r="P49" s="237"/>
      <c r="Q49" s="185"/>
      <c r="R49" s="185"/>
      <c r="S49" s="410"/>
      <c r="T49" s="185"/>
      <c r="U49" s="185"/>
      <c r="V49" s="144"/>
      <c r="W49" s="400"/>
    </row>
    <row r="50" spans="1:23" ht="14.25" customHeight="1" thickBot="1">
      <c r="A50" s="152" t="s">
        <v>10</v>
      </c>
      <c r="B50" s="272"/>
      <c r="C50" s="420" t="s">
        <v>147</v>
      </c>
      <c r="D50" s="410"/>
      <c r="E50" s="185"/>
      <c r="F50" s="185"/>
      <c r="G50" s="144"/>
      <c r="H50" s="237"/>
      <c r="I50" s="185"/>
      <c r="J50" s="185"/>
      <c r="K50" s="400"/>
      <c r="L50" s="410"/>
      <c r="M50" s="185"/>
      <c r="N50" s="185"/>
      <c r="O50" s="144"/>
      <c r="P50" s="237"/>
      <c r="Q50" s="185"/>
      <c r="R50" s="185"/>
      <c r="S50" s="410"/>
      <c r="T50" s="185"/>
      <c r="U50" s="185"/>
      <c r="V50" s="144"/>
      <c r="W50" s="400"/>
    </row>
    <row r="51" spans="1:23" ht="13.5" thickBot="1">
      <c r="A51" s="136">
        <v>5</v>
      </c>
      <c r="B51" s="172"/>
      <c r="C51" s="421" t="s">
        <v>265</v>
      </c>
      <c r="D51" s="413">
        <f aca="true" t="shared" si="16" ref="D51:I51">D37+D43+D49+D50</f>
        <v>168169512</v>
      </c>
      <c r="E51" s="188">
        <f>E37+E43+E49+E50</f>
        <v>168169612</v>
      </c>
      <c r="F51" s="188">
        <f>F37+F43+F49+F50</f>
        <v>166638103</v>
      </c>
      <c r="G51" s="1708">
        <f>G37+G43+G49+G50</f>
        <v>155222605</v>
      </c>
      <c r="H51" s="242">
        <f t="shared" si="16"/>
        <v>152203169</v>
      </c>
      <c r="I51" s="413">
        <f t="shared" si="16"/>
        <v>0</v>
      </c>
      <c r="J51" s="1728">
        <f>SUM(H51/G51)</f>
        <v>0.9805477043759186</v>
      </c>
      <c r="K51" s="155">
        <f aca="true" t="shared" si="17" ref="K51:Q51">K37+K43+K49+K50</f>
        <v>0</v>
      </c>
      <c r="L51" s="413">
        <f t="shared" si="17"/>
        <v>168169512</v>
      </c>
      <c r="M51" s="188">
        <f t="shared" si="17"/>
        <v>168169612</v>
      </c>
      <c r="N51" s="188">
        <f>N37+N43+N49+N50</f>
        <v>166638103</v>
      </c>
      <c r="O51" s="173">
        <f>O37+O43+O49+O50</f>
        <v>155222605</v>
      </c>
      <c r="P51" s="242">
        <f t="shared" si="17"/>
        <v>0</v>
      </c>
      <c r="Q51" s="413">
        <f t="shared" si="17"/>
        <v>152203169</v>
      </c>
      <c r="R51" s="1728">
        <f>SUM(Q51/O51)</f>
        <v>0.9805477043759186</v>
      </c>
      <c r="S51" s="413"/>
      <c r="T51" s="188"/>
      <c r="U51" s="188"/>
      <c r="V51" s="173"/>
      <c r="W51" s="155"/>
    </row>
    <row r="52" spans="1:23" ht="13.5" thickBot="1">
      <c r="A52" s="274"/>
      <c r="B52" s="275"/>
      <c r="C52" s="275"/>
      <c r="D52" s="450"/>
      <c r="E52" s="451"/>
      <c r="F52" s="451"/>
      <c r="G52" s="452"/>
      <c r="H52" s="1271"/>
      <c r="I52" s="451"/>
      <c r="J52" s="451"/>
      <c r="K52" s="686"/>
      <c r="L52" s="450"/>
      <c r="M52" s="451"/>
      <c r="N52" s="451"/>
      <c r="O52" s="452"/>
      <c r="P52" s="1271"/>
      <c r="Q52" s="451"/>
      <c r="R52" s="451"/>
      <c r="S52" s="450"/>
      <c r="T52" s="451"/>
      <c r="U52" s="451"/>
      <c r="V52" s="452"/>
      <c r="W52" s="686"/>
    </row>
    <row r="53" spans="1:23" ht="13.5" thickBot="1">
      <c r="A53" s="176" t="s">
        <v>149</v>
      </c>
      <c r="B53" s="177"/>
      <c r="C53" s="422"/>
      <c r="D53" s="436">
        <v>26</v>
      </c>
      <c r="E53" s="193">
        <v>26</v>
      </c>
      <c r="F53" s="193">
        <v>26</v>
      </c>
      <c r="G53" s="425">
        <v>26</v>
      </c>
      <c r="H53" s="1272">
        <v>25</v>
      </c>
      <c r="I53" s="193">
        <v>22</v>
      </c>
      <c r="J53" s="337">
        <f>SUM(H53/G53)</f>
        <v>0.9615384615384616</v>
      </c>
      <c r="K53" s="192"/>
      <c r="L53" s="436">
        <v>26</v>
      </c>
      <c r="M53" s="193">
        <v>26</v>
      </c>
      <c r="N53" s="193">
        <v>26</v>
      </c>
      <c r="O53" s="425">
        <v>26</v>
      </c>
      <c r="P53" s="1272">
        <v>22</v>
      </c>
      <c r="Q53" s="193">
        <v>25</v>
      </c>
      <c r="R53" s="337">
        <f>Q53/O53</f>
        <v>0.9615384615384616</v>
      </c>
      <c r="S53" s="436"/>
      <c r="T53" s="193"/>
      <c r="U53" s="193"/>
      <c r="V53" s="425"/>
      <c r="W53" s="192"/>
    </row>
    <row r="54" spans="1:23" ht="13.5" thickBot="1">
      <c r="A54" s="176" t="s">
        <v>150</v>
      </c>
      <c r="B54" s="177"/>
      <c r="C54" s="422"/>
      <c r="D54" s="436">
        <v>0</v>
      </c>
      <c r="E54" s="193">
        <v>0</v>
      </c>
      <c r="F54" s="193">
        <v>0</v>
      </c>
      <c r="G54" s="425">
        <v>0</v>
      </c>
      <c r="H54" s="1272">
        <v>0</v>
      </c>
      <c r="I54" s="193">
        <v>0</v>
      </c>
      <c r="J54" s="337"/>
      <c r="K54" s="192"/>
      <c r="L54" s="436">
        <v>0</v>
      </c>
      <c r="M54" s="193">
        <v>0</v>
      </c>
      <c r="N54" s="193">
        <v>0</v>
      </c>
      <c r="O54" s="425">
        <v>0</v>
      </c>
      <c r="P54" s="1272">
        <v>0</v>
      </c>
      <c r="Q54" s="193">
        <v>0</v>
      </c>
      <c r="R54" s="337"/>
      <c r="S54" s="436"/>
      <c r="T54" s="193"/>
      <c r="U54" s="193"/>
      <c r="V54" s="425"/>
      <c r="W54" s="192"/>
    </row>
    <row r="55" spans="6:11" ht="12.75">
      <c r="F55" s="278"/>
      <c r="G55" s="278"/>
      <c r="H55" s="278"/>
      <c r="I55" s="278"/>
      <c r="J55" s="278"/>
      <c r="K55" s="278"/>
    </row>
    <row r="56" spans="1:11" ht="12.75">
      <c r="A56" s="1913" t="s">
        <v>151</v>
      </c>
      <c r="B56" s="1913"/>
      <c r="C56" s="1913"/>
      <c r="D56" s="1913"/>
      <c r="E56" s="261"/>
      <c r="F56" s="652"/>
      <c r="G56" s="652"/>
      <c r="H56" s="652"/>
      <c r="I56" s="652"/>
      <c r="J56" s="261"/>
      <c r="K56" s="261"/>
    </row>
    <row r="57" spans="1:3" ht="12.75">
      <c r="A57" s="1913"/>
      <c r="B57" s="1913"/>
      <c r="C57" s="1913"/>
    </row>
    <row r="58" spans="4:11" ht="12.75">
      <c r="D58" s="278">
        <v>0</v>
      </c>
      <c r="E58" s="278"/>
      <c r="F58" s="278"/>
      <c r="G58" s="278"/>
      <c r="H58" s="278"/>
      <c r="I58" s="278"/>
      <c r="J58" s="278"/>
      <c r="K58" s="278"/>
    </row>
  </sheetData>
  <sheetProtection/>
  <mergeCells count="8">
    <mergeCell ref="L1:V1"/>
    <mergeCell ref="S5:W5"/>
    <mergeCell ref="A3:S3"/>
    <mergeCell ref="A57:C57"/>
    <mergeCell ref="A56:D56"/>
    <mergeCell ref="A6:B6"/>
    <mergeCell ref="D5:K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B46"/>
  <sheetViews>
    <sheetView view="pageBreakPreview" zoomScale="60" zoomScaleNormal="70" workbookViewId="0" topLeftCell="A1">
      <selection activeCell="AB5" sqref="AB5"/>
    </sheetView>
  </sheetViews>
  <sheetFormatPr defaultColWidth="9.140625" defaultRowHeight="12.75"/>
  <cols>
    <col min="1" max="1" width="9.140625" style="933" customWidth="1"/>
    <col min="2" max="2" width="54.28125" style="933" customWidth="1"/>
    <col min="3" max="3" width="5.57421875" style="951" customWidth="1"/>
    <col min="4" max="4" width="17.421875" style="949" customWidth="1"/>
    <col min="5" max="5" width="16.140625" style="949" hidden="1" customWidth="1"/>
    <col min="6" max="6" width="18.57421875" style="949" hidden="1" customWidth="1"/>
    <col min="7" max="7" width="15.7109375" style="949" customWidth="1"/>
    <col min="8" max="9" width="14.140625" style="949" hidden="1" customWidth="1"/>
    <col min="10" max="11" width="20.8515625" style="949" customWidth="1"/>
    <col min="12" max="12" width="20.8515625" style="949" hidden="1" customWidth="1"/>
    <col min="13" max="13" width="20.28125" style="933" customWidth="1"/>
    <col min="14" max="15" width="15.28125" style="933" hidden="1" customWidth="1"/>
    <col min="16" max="17" width="15.28125" style="933" customWidth="1"/>
    <col min="18" max="18" width="15.28125" style="933" hidden="1" customWidth="1"/>
    <col min="19" max="19" width="15.28125" style="933" customWidth="1"/>
    <col min="20" max="20" width="18.28125" style="933" customWidth="1"/>
    <col min="21" max="21" width="13.28125" style="933" hidden="1" customWidth="1"/>
    <col min="22" max="22" width="0.2890625" style="933" customWidth="1"/>
    <col min="23" max="23" width="15.8515625" style="933" customWidth="1"/>
    <col min="24" max="24" width="21.421875" style="933" customWidth="1"/>
    <col min="25" max="25" width="0.42578125" style="933" customWidth="1"/>
    <col min="26" max="26" width="16.7109375" style="933" customWidth="1"/>
    <col min="27" max="27" width="12.421875" style="933" customWidth="1"/>
    <col min="28" max="28" width="11.57421875" style="933" customWidth="1"/>
    <col min="29" max="16384" width="9.140625" style="933" customWidth="1"/>
  </cols>
  <sheetData>
    <row r="2" spans="1:21" ht="15.75" customHeight="1">
      <c r="A2" s="1930" t="s">
        <v>58</v>
      </c>
      <c r="B2" s="1930"/>
      <c r="C2" s="1930"/>
      <c r="D2" s="1930"/>
      <c r="E2" s="1930"/>
      <c r="F2" s="1930"/>
      <c r="G2" s="1930"/>
      <c r="H2" s="1930"/>
      <c r="I2" s="1930"/>
      <c r="J2" s="1930"/>
      <c r="K2" s="1930"/>
      <c r="L2" s="1930"/>
      <c r="M2" s="1930"/>
      <c r="N2" s="1930"/>
      <c r="O2" s="1930"/>
      <c r="P2" s="1930"/>
      <c r="Q2" s="1930"/>
      <c r="R2" s="1930"/>
      <c r="S2" s="1930"/>
      <c r="T2" s="1930"/>
      <c r="U2" s="1930"/>
    </row>
    <row r="3" spans="1:21" ht="16.5" thickBot="1">
      <c r="A3" s="934"/>
      <c r="B3" s="1819"/>
      <c r="C3" s="1819"/>
      <c r="D3" s="1820"/>
      <c r="E3" s="1820"/>
      <c r="F3" s="1820"/>
      <c r="G3" s="1820"/>
      <c r="H3" s="1820"/>
      <c r="I3" s="1820"/>
      <c r="J3" s="1820"/>
      <c r="K3" s="1820"/>
      <c r="L3" s="1820"/>
      <c r="M3" s="1819"/>
      <c r="N3" s="1819"/>
      <c r="O3" s="1819"/>
      <c r="P3" s="1819"/>
      <c r="Q3" s="1819"/>
      <c r="R3" s="1819"/>
      <c r="S3" s="1819"/>
      <c r="T3" s="1931" t="s">
        <v>445</v>
      </c>
      <c r="U3" s="1931"/>
    </row>
    <row r="4" spans="1:26" s="939" customFormat="1" ht="31.5" customHeight="1" thickBot="1">
      <c r="A4" s="936" t="s">
        <v>5</v>
      </c>
      <c r="B4" s="937" t="s">
        <v>34</v>
      </c>
      <c r="C4" s="938" t="s">
        <v>256</v>
      </c>
      <c r="D4" s="1926" t="s">
        <v>4</v>
      </c>
      <c r="E4" s="1927"/>
      <c r="F4" s="1927"/>
      <c r="G4" s="1927"/>
      <c r="H4" s="1927"/>
      <c r="I4" s="1927"/>
      <c r="J4" s="1928"/>
      <c r="K4" s="984"/>
      <c r="L4" s="984"/>
      <c r="M4" s="1921" t="s">
        <v>257</v>
      </c>
      <c r="N4" s="1922"/>
      <c r="O4" s="1922"/>
      <c r="P4" s="1922"/>
      <c r="Q4" s="1922"/>
      <c r="R4" s="1922"/>
      <c r="S4" s="1923"/>
      <c r="T4" s="1921" t="s">
        <v>25</v>
      </c>
      <c r="U4" s="1922"/>
      <c r="V4" s="1922"/>
      <c r="W4" s="1922"/>
      <c r="X4" s="1922"/>
      <c r="Y4" s="1922"/>
      <c r="Z4" s="1923"/>
    </row>
    <row r="5" spans="1:26" s="939" customFormat="1" ht="31.5" customHeight="1">
      <c r="A5" s="940"/>
      <c r="B5" s="1006"/>
      <c r="C5" s="941"/>
      <c r="D5" s="942" t="s">
        <v>64</v>
      </c>
      <c r="E5" s="943" t="s">
        <v>220</v>
      </c>
      <c r="F5" s="943" t="s">
        <v>223</v>
      </c>
      <c r="G5" s="944" t="s">
        <v>225</v>
      </c>
      <c r="H5" s="944" t="s">
        <v>569</v>
      </c>
      <c r="I5" s="944" t="s">
        <v>570</v>
      </c>
      <c r="J5" s="945" t="s">
        <v>228</v>
      </c>
      <c r="K5" s="945" t="s">
        <v>229</v>
      </c>
      <c r="L5" s="985"/>
      <c r="M5" s="942" t="s">
        <v>64</v>
      </c>
      <c r="N5" s="943" t="s">
        <v>220</v>
      </c>
      <c r="O5" s="943" t="s">
        <v>223</v>
      </c>
      <c r="P5" s="944" t="s">
        <v>225</v>
      </c>
      <c r="Q5" s="945" t="s">
        <v>228</v>
      </c>
      <c r="R5" s="944" t="s">
        <v>242</v>
      </c>
      <c r="S5" s="945" t="s">
        <v>229</v>
      </c>
      <c r="T5" s="942" t="s">
        <v>64</v>
      </c>
      <c r="U5" s="943" t="s">
        <v>220</v>
      </c>
      <c r="V5" s="943" t="s">
        <v>223</v>
      </c>
      <c r="W5" s="944" t="s">
        <v>225</v>
      </c>
      <c r="X5" s="945" t="s">
        <v>228</v>
      </c>
      <c r="Y5" s="944" t="s">
        <v>242</v>
      </c>
      <c r="Z5" s="945" t="s">
        <v>229</v>
      </c>
    </row>
    <row r="6" spans="1:26" ht="29.25" customHeight="1">
      <c r="A6" s="946">
        <v>1</v>
      </c>
      <c r="B6" s="1007" t="s">
        <v>600</v>
      </c>
      <c r="C6" s="478" t="s">
        <v>204</v>
      </c>
      <c r="D6" s="480">
        <v>1500000</v>
      </c>
      <c r="E6" s="816">
        <v>1500000</v>
      </c>
      <c r="F6" s="816">
        <v>1500000</v>
      </c>
      <c r="G6" s="816">
        <v>1500000</v>
      </c>
      <c r="H6" s="816"/>
      <c r="I6" s="815"/>
      <c r="J6" s="1147">
        <f>+H6+I6</f>
        <v>0</v>
      </c>
      <c r="K6" s="1599"/>
      <c r="L6" s="1135"/>
      <c r="M6" s="480"/>
      <c r="N6" s="816"/>
      <c r="O6" s="816"/>
      <c r="P6" s="816"/>
      <c r="Q6" s="816"/>
      <c r="R6" s="816"/>
      <c r="S6" s="484"/>
      <c r="T6" s="480">
        <f aca="true" t="shared" si="0" ref="T6:T15">+D6-M6</f>
        <v>1500000</v>
      </c>
      <c r="U6" s="816">
        <f aca="true" t="shared" si="1" ref="U6:U15">+E6-N6</f>
        <v>1500000</v>
      </c>
      <c r="V6" s="816">
        <f aca="true" t="shared" si="2" ref="V6:V15">+F6-O6</f>
        <v>1500000</v>
      </c>
      <c r="W6" s="816">
        <f aca="true" t="shared" si="3" ref="W6:W15">+G6-P6</f>
        <v>1500000</v>
      </c>
      <c r="X6" s="816"/>
      <c r="Y6" s="816"/>
      <c r="Z6" s="1603">
        <f>X6/W6</f>
        <v>0</v>
      </c>
    </row>
    <row r="7" spans="1:26" ht="29.25" customHeight="1">
      <c r="A7" s="946">
        <v>2</v>
      </c>
      <c r="B7" s="1007" t="s">
        <v>601</v>
      </c>
      <c r="C7" s="478" t="s">
        <v>204</v>
      </c>
      <c r="D7" s="480">
        <v>3000000</v>
      </c>
      <c r="E7" s="816">
        <v>3000000</v>
      </c>
      <c r="F7" s="816">
        <v>3000000</v>
      </c>
      <c r="G7" s="816">
        <v>3000000</v>
      </c>
      <c r="H7" s="815"/>
      <c r="I7" s="815"/>
      <c r="J7" s="1147">
        <f>+H7+I7</f>
        <v>0</v>
      </c>
      <c r="K7" s="1599"/>
      <c r="L7" s="1135"/>
      <c r="M7" s="480"/>
      <c r="N7" s="814"/>
      <c r="O7" s="814"/>
      <c r="P7" s="814"/>
      <c r="Q7" s="814"/>
      <c r="R7" s="814"/>
      <c r="S7" s="484"/>
      <c r="T7" s="480">
        <f t="shared" si="0"/>
        <v>3000000</v>
      </c>
      <c r="U7" s="816">
        <f t="shared" si="1"/>
        <v>3000000</v>
      </c>
      <c r="V7" s="816">
        <f t="shared" si="2"/>
        <v>3000000</v>
      </c>
      <c r="W7" s="816">
        <f t="shared" si="3"/>
        <v>3000000</v>
      </c>
      <c r="X7" s="815"/>
      <c r="Y7" s="816"/>
      <c r="Z7" s="1603">
        <f aca="true" t="shared" si="4" ref="Z7:Z15">X7/W7</f>
        <v>0</v>
      </c>
    </row>
    <row r="8" spans="1:26" ht="29.25" customHeight="1">
      <c r="A8" s="946">
        <v>3</v>
      </c>
      <c r="B8" s="1007" t="s">
        <v>602</v>
      </c>
      <c r="C8" s="478" t="s">
        <v>204</v>
      </c>
      <c r="D8" s="480">
        <v>700000</v>
      </c>
      <c r="E8" s="816">
        <v>700000</v>
      </c>
      <c r="F8" s="816">
        <v>700000</v>
      </c>
      <c r="G8" s="816">
        <v>700000</v>
      </c>
      <c r="H8" s="1148"/>
      <c r="I8" s="1148"/>
      <c r="J8" s="1147">
        <f>+H8+I8</f>
        <v>0</v>
      </c>
      <c r="K8" s="1599"/>
      <c r="L8" s="1135"/>
      <c r="M8" s="480"/>
      <c r="N8" s="690"/>
      <c r="O8" s="690"/>
      <c r="P8" s="690"/>
      <c r="Q8" s="690"/>
      <c r="R8" s="690"/>
      <c r="S8" s="484"/>
      <c r="T8" s="480">
        <f t="shared" si="0"/>
        <v>700000</v>
      </c>
      <c r="U8" s="816">
        <f t="shared" si="1"/>
        <v>700000</v>
      </c>
      <c r="V8" s="816">
        <f t="shared" si="2"/>
        <v>700000</v>
      </c>
      <c r="W8" s="816">
        <f t="shared" si="3"/>
        <v>700000</v>
      </c>
      <c r="X8" s="1148"/>
      <c r="Y8" s="816"/>
      <c r="Z8" s="1603">
        <f t="shared" si="4"/>
        <v>0</v>
      </c>
    </row>
    <row r="9" spans="1:26" s="1589" customFormat="1" ht="29.25" customHeight="1">
      <c r="A9" s="1580">
        <v>4</v>
      </c>
      <c r="B9" s="1581" t="s">
        <v>659</v>
      </c>
      <c r="C9" s="1582" t="s">
        <v>204</v>
      </c>
      <c r="D9" s="1583">
        <v>10000000</v>
      </c>
      <c r="E9" s="1584">
        <v>10000000</v>
      </c>
      <c r="F9" s="1584">
        <v>10000000</v>
      </c>
      <c r="G9" s="1584">
        <v>10000000</v>
      </c>
      <c r="H9" s="1585">
        <f>191070+1023622+260824+1037795+85800</f>
        <v>2599111</v>
      </c>
      <c r="I9" s="1585">
        <f>51589+650171</f>
        <v>701760</v>
      </c>
      <c r="J9" s="1586">
        <f aca="true" t="shared" si="5" ref="J9:J20">+H9+I9</f>
        <v>3300871</v>
      </c>
      <c r="K9" s="1600">
        <f>SUM(J9/G9)</f>
        <v>0.3300871</v>
      </c>
      <c r="L9" s="1587"/>
      <c r="M9" s="1583"/>
      <c r="N9" s="1588"/>
      <c r="O9" s="1588"/>
      <c r="P9" s="1588"/>
      <c r="Q9" s="1588"/>
      <c r="R9" s="1588"/>
      <c r="S9" s="1602"/>
      <c r="T9" s="1583">
        <f t="shared" si="0"/>
        <v>10000000</v>
      </c>
      <c r="U9" s="1584">
        <f t="shared" si="1"/>
        <v>10000000</v>
      </c>
      <c r="V9" s="1584">
        <f t="shared" si="2"/>
        <v>10000000</v>
      </c>
      <c r="W9" s="1584">
        <f t="shared" si="3"/>
        <v>10000000</v>
      </c>
      <c r="X9" s="1585">
        <v>3300871</v>
      </c>
      <c r="Y9" s="1584"/>
      <c r="Z9" s="1603">
        <f t="shared" si="4"/>
        <v>0.3300871</v>
      </c>
    </row>
    <row r="10" spans="1:26" ht="29.25" customHeight="1">
      <c r="A10" s="946">
        <v>5</v>
      </c>
      <c r="B10" s="1007" t="s">
        <v>603</v>
      </c>
      <c r="C10" s="478" t="s">
        <v>203</v>
      </c>
      <c r="D10" s="480">
        <v>516012</v>
      </c>
      <c r="E10" s="816">
        <f>516012+58116+15692</f>
        <v>589820</v>
      </c>
      <c r="F10" s="816">
        <f>516012+58116+15692</f>
        <v>589820</v>
      </c>
      <c r="G10" s="816">
        <f>516012+58116+15692</f>
        <v>589820</v>
      </c>
      <c r="H10" s="44">
        <v>464425</v>
      </c>
      <c r="I10" s="44">
        <v>125395</v>
      </c>
      <c r="J10" s="1147">
        <f t="shared" si="5"/>
        <v>589820</v>
      </c>
      <c r="K10" s="1599">
        <f aca="true" t="shared" si="6" ref="K10:K23">SUM(J10/G10)</f>
        <v>1</v>
      </c>
      <c r="L10" s="1135"/>
      <c r="M10" s="480">
        <v>516012</v>
      </c>
      <c r="N10" s="816">
        <v>516012</v>
      </c>
      <c r="O10" s="816">
        <v>516012</v>
      </c>
      <c r="P10" s="690">
        <v>516012</v>
      </c>
      <c r="Q10" s="690">
        <v>516012</v>
      </c>
      <c r="R10" s="690"/>
      <c r="S10" s="1603">
        <f>Q10/P10</f>
        <v>1</v>
      </c>
      <c r="T10" s="480">
        <f t="shared" si="0"/>
        <v>0</v>
      </c>
      <c r="U10" s="816">
        <f t="shared" si="1"/>
        <v>73808</v>
      </c>
      <c r="V10" s="816">
        <f t="shared" si="2"/>
        <v>73808</v>
      </c>
      <c r="W10" s="816">
        <f t="shared" si="3"/>
        <v>73808</v>
      </c>
      <c r="X10" s="816">
        <v>73808</v>
      </c>
      <c r="Y10" s="816"/>
      <c r="Z10" s="1603">
        <f t="shared" si="4"/>
        <v>1</v>
      </c>
    </row>
    <row r="11" spans="1:26" s="1589" customFormat="1" ht="29.25" customHeight="1">
      <c r="A11" s="1580">
        <v>6</v>
      </c>
      <c r="B11" s="1581" t="s">
        <v>604</v>
      </c>
      <c r="C11" s="1582" t="s">
        <v>204</v>
      </c>
      <c r="D11" s="1583">
        <v>45000000</v>
      </c>
      <c r="E11" s="1584">
        <f>45000000-15963579-4310166</f>
        <v>24726255</v>
      </c>
      <c r="F11" s="1584">
        <f>45000000-15963579-4310166</f>
        <v>24726255</v>
      </c>
      <c r="G11" s="1584">
        <f>45000000-15963579-4310166</f>
        <v>24726255</v>
      </c>
      <c r="H11" s="1585">
        <v>19469492</v>
      </c>
      <c r="I11" s="1585">
        <v>5256763</v>
      </c>
      <c r="J11" s="1586">
        <f t="shared" si="5"/>
        <v>24726255</v>
      </c>
      <c r="K11" s="1600">
        <f t="shared" si="6"/>
        <v>1</v>
      </c>
      <c r="L11" s="1587"/>
      <c r="M11" s="1590">
        <v>14998400</v>
      </c>
      <c r="N11" s="1591">
        <v>14998400</v>
      </c>
      <c r="O11" s="1591">
        <v>14998400</v>
      </c>
      <c r="P11" s="1574">
        <f>+O11</f>
        <v>14998400</v>
      </c>
      <c r="Q11" s="1588">
        <v>14998400</v>
      </c>
      <c r="R11" s="1588"/>
      <c r="S11" s="1603">
        <f>Q11/P11</f>
        <v>1</v>
      </c>
      <c r="T11" s="1583">
        <f t="shared" si="0"/>
        <v>30001600</v>
      </c>
      <c r="U11" s="1584">
        <f t="shared" si="1"/>
        <v>9727855</v>
      </c>
      <c r="V11" s="1584">
        <f t="shared" si="2"/>
        <v>9727855</v>
      </c>
      <c r="W11" s="1584">
        <f t="shared" si="3"/>
        <v>9727855</v>
      </c>
      <c r="X11" s="1585">
        <v>9727855</v>
      </c>
      <c r="Y11" s="1584"/>
      <c r="Z11" s="1603">
        <f t="shared" si="4"/>
        <v>1</v>
      </c>
    </row>
    <row r="12" spans="1:26" ht="29.25" customHeight="1">
      <c r="A12" s="946">
        <v>7</v>
      </c>
      <c r="B12" s="769" t="s">
        <v>633</v>
      </c>
      <c r="C12" s="478" t="s">
        <v>204</v>
      </c>
      <c r="D12" s="481"/>
      <c r="E12" s="815">
        <f>16146730+60000+401280+16200+108346</f>
        <v>16732556</v>
      </c>
      <c r="F12" s="815">
        <f>16146730+60000+401280+16200+108346</f>
        <v>16732556</v>
      </c>
      <c r="G12" s="815">
        <f>16146730+60000+401280+16200+108346</f>
        <v>16732556</v>
      </c>
      <c r="H12" s="44">
        <v>16608010</v>
      </c>
      <c r="I12" s="44">
        <v>124546</v>
      </c>
      <c r="J12" s="1147">
        <f t="shared" si="5"/>
        <v>16732556</v>
      </c>
      <c r="K12" s="1599">
        <f t="shared" si="6"/>
        <v>1</v>
      </c>
      <c r="L12" s="1135"/>
      <c r="M12" s="481"/>
      <c r="N12" s="815"/>
      <c r="O12" s="815"/>
      <c r="P12" s="815"/>
      <c r="Q12" s="690"/>
      <c r="R12" s="690"/>
      <c r="S12" s="484"/>
      <c r="T12" s="480">
        <f t="shared" si="0"/>
        <v>0</v>
      </c>
      <c r="U12" s="816">
        <f t="shared" si="1"/>
        <v>16732556</v>
      </c>
      <c r="V12" s="816">
        <f t="shared" si="2"/>
        <v>16732556</v>
      </c>
      <c r="W12" s="816">
        <f t="shared" si="3"/>
        <v>16732556</v>
      </c>
      <c r="X12" s="44">
        <v>16732556</v>
      </c>
      <c r="Y12" s="816"/>
      <c r="Z12" s="1603">
        <f t="shared" si="4"/>
        <v>1</v>
      </c>
    </row>
    <row r="13" spans="1:26" ht="29.25" customHeight="1">
      <c r="A13" s="946">
        <v>8</v>
      </c>
      <c r="B13" s="769" t="s">
        <v>634</v>
      </c>
      <c r="C13" s="478" t="s">
        <v>204</v>
      </c>
      <c r="D13" s="481"/>
      <c r="E13" s="815">
        <f>243500+65745</f>
        <v>309245</v>
      </c>
      <c r="F13" s="815">
        <f>243500+65745</f>
        <v>309245</v>
      </c>
      <c r="G13" s="815">
        <f>243500+65745</f>
        <v>309245</v>
      </c>
      <c r="H13" s="44">
        <v>243500</v>
      </c>
      <c r="I13" s="44">
        <v>65745</v>
      </c>
      <c r="J13" s="1147">
        <f t="shared" si="5"/>
        <v>309245</v>
      </c>
      <c r="K13" s="1600">
        <f t="shared" si="6"/>
        <v>1</v>
      </c>
      <c r="L13" s="1135"/>
      <c r="M13" s="481"/>
      <c r="N13" s="815"/>
      <c r="O13" s="815"/>
      <c r="P13" s="690"/>
      <c r="Q13" s="690"/>
      <c r="R13" s="690"/>
      <c r="S13" s="484"/>
      <c r="T13" s="480">
        <f t="shared" si="0"/>
        <v>0</v>
      </c>
      <c r="U13" s="816">
        <f t="shared" si="1"/>
        <v>309245</v>
      </c>
      <c r="V13" s="816">
        <f t="shared" si="2"/>
        <v>309245</v>
      </c>
      <c r="W13" s="816">
        <f t="shared" si="3"/>
        <v>309245</v>
      </c>
      <c r="X13" s="44">
        <v>309245</v>
      </c>
      <c r="Y13" s="816"/>
      <c r="Z13" s="1603">
        <f t="shared" si="4"/>
        <v>1</v>
      </c>
    </row>
    <row r="14" spans="1:26" ht="43.5" customHeight="1">
      <c r="A14" s="946">
        <v>9</v>
      </c>
      <c r="B14" s="769" t="s">
        <v>635</v>
      </c>
      <c r="C14" s="478" t="s">
        <v>204</v>
      </c>
      <c r="D14" s="481"/>
      <c r="E14" s="815">
        <f>149339+40321</f>
        <v>189660</v>
      </c>
      <c r="F14" s="815">
        <f>149339+40321</f>
        <v>189660</v>
      </c>
      <c r="G14" s="815">
        <f>149339+40321</f>
        <v>189660</v>
      </c>
      <c r="H14" s="44">
        <v>149339</v>
      </c>
      <c r="I14" s="44">
        <v>40321</v>
      </c>
      <c r="J14" s="1147">
        <f t="shared" si="5"/>
        <v>189660</v>
      </c>
      <c r="K14" s="1599">
        <f t="shared" si="6"/>
        <v>1</v>
      </c>
      <c r="L14" s="1135"/>
      <c r="M14" s="481"/>
      <c r="N14" s="815"/>
      <c r="O14" s="815"/>
      <c r="P14" s="815"/>
      <c r="Q14" s="44"/>
      <c r="R14" s="769"/>
      <c r="S14" s="484"/>
      <c r="T14" s="480">
        <f t="shared" si="0"/>
        <v>0</v>
      </c>
      <c r="U14" s="816">
        <f t="shared" si="1"/>
        <v>189660</v>
      </c>
      <c r="V14" s="816">
        <f t="shared" si="2"/>
        <v>189660</v>
      </c>
      <c r="W14" s="816">
        <f t="shared" si="3"/>
        <v>189660</v>
      </c>
      <c r="X14" s="44">
        <v>189660</v>
      </c>
      <c r="Y14" s="816"/>
      <c r="Z14" s="1603">
        <f t="shared" si="4"/>
        <v>1</v>
      </c>
    </row>
    <row r="15" spans="1:26" ht="43.5" customHeight="1">
      <c r="A15" s="946">
        <v>10</v>
      </c>
      <c r="B15" s="769" t="s">
        <v>1020</v>
      </c>
      <c r="C15" s="478" t="s">
        <v>204</v>
      </c>
      <c r="D15" s="482"/>
      <c r="E15" s="44">
        <v>750000</v>
      </c>
      <c r="F15" s="44">
        <v>750000</v>
      </c>
      <c r="G15" s="44">
        <v>750000</v>
      </c>
      <c r="H15" s="44">
        <v>750000</v>
      </c>
      <c r="I15" s="44"/>
      <c r="J15" s="1147">
        <f t="shared" si="5"/>
        <v>750000</v>
      </c>
      <c r="K15" s="1600">
        <f t="shared" si="6"/>
        <v>1</v>
      </c>
      <c r="L15" s="1135"/>
      <c r="M15" s="486"/>
      <c r="N15" s="690"/>
      <c r="O15" s="690"/>
      <c r="P15" s="924"/>
      <c r="Q15" s="690"/>
      <c r="R15" s="690"/>
      <c r="S15" s="484"/>
      <c r="T15" s="486">
        <f t="shared" si="0"/>
        <v>0</v>
      </c>
      <c r="U15" s="816">
        <f t="shared" si="1"/>
        <v>750000</v>
      </c>
      <c r="V15" s="816">
        <f t="shared" si="2"/>
        <v>750000</v>
      </c>
      <c r="W15" s="816">
        <f t="shared" si="3"/>
        <v>750000</v>
      </c>
      <c r="X15" s="44">
        <v>750000</v>
      </c>
      <c r="Y15" s="816">
        <f>+I15-R15</f>
        <v>0</v>
      </c>
      <c r="Z15" s="1603">
        <f t="shared" si="4"/>
        <v>1</v>
      </c>
    </row>
    <row r="16" spans="1:26" ht="43.5" customHeight="1">
      <c r="A16" s="946">
        <v>11</v>
      </c>
      <c r="B16" s="769" t="s">
        <v>637</v>
      </c>
      <c r="C16" s="478" t="s">
        <v>204</v>
      </c>
      <c r="D16" s="482"/>
      <c r="E16" s="44"/>
      <c r="F16" s="44">
        <f>3937000+1062990</f>
        <v>4999990</v>
      </c>
      <c r="G16" s="44">
        <f>3937000+1062990</f>
        <v>4999990</v>
      </c>
      <c r="H16" s="44"/>
      <c r="I16" s="44"/>
      <c r="J16" s="1152">
        <f t="shared" si="5"/>
        <v>0</v>
      </c>
      <c r="K16" s="1601"/>
      <c r="L16" s="1135"/>
      <c r="M16" s="482"/>
      <c r="N16" s="44"/>
      <c r="O16" s="44">
        <v>4999990</v>
      </c>
      <c r="P16" s="924">
        <f>+O16</f>
        <v>4999990</v>
      </c>
      <c r="Q16" s="690">
        <v>0</v>
      </c>
      <c r="R16" s="690"/>
      <c r="S16" s="1603">
        <f>Q16/P16</f>
        <v>0</v>
      </c>
      <c r="T16" s="486"/>
      <c r="U16" s="816">
        <f aca="true" t="shared" si="7" ref="U16:W17">+E16-N16</f>
        <v>0</v>
      </c>
      <c r="V16" s="816">
        <f t="shared" si="7"/>
        <v>0</v>
      </c>
      <c r="W16" s="816">
        <f t="shared" si="7"/>
        <v>0</v>
      </c>
      <c r="X16" s="44"/>
      <c r="Y16" s="816">
        <f>+I16-R16</f>
        <v>0</v>
      </c>
      <c r="Z16" s="484"/>
    </row>
    <row r="17" spans="1:26" ht="43.5" customHeight="1">
      <c r="A17" s="946">
        <v>12</v>
      </c>
      <c r="B17" s="1007" t="s">
        <v>648</v>
      </c>
      <c r="C17" s="478" t="s">
        <v>204</v>
      </c>
      <c r="D17" s="482"/>
      <c r="E17" s="44"/>
      <c r="F17" s="44">
        <f>1923143+519248</f>
        <v>2442391</v>
      </c>
      <c r="G17" s="44">
        <f>1923143+519248</f>
        <v>2442391</v>
      </c>
      <c r="H17" s="44">
        <v>232283</v>
      </c>
      <c r="I17" s="44">
        <v>62717</v>
      </c>
      <c r="J17" s="1147">
        <f t="shared" si="5"/>
        <v>295000</v>
      </c>
      <c r="K17" s="1599">
        <f t="shared" si="6"/>
        <v>0.12078328162853531</v>
      </c>
      <c r="L17" s="1135"/>
      <c r="M17" s="482"/>
      <c r="N17" s="44"/>
      <c r="O17" s="44">
        <v>2442391</v>
      </c>
      <c r="P17" s="924">
        <f>+O17</f>
        <v>2442391</v>
      </c>
      <c r="Q17" s="690">
        <v>295000</v>
      </c>
      <c r="R17" s="690"/>
      <c r="S17" s="1603">
        <f>Q17/P17</f>
        <v>0.12078328162853531</v>
      </c>
      <c r="T17" s="486"/>
      <c r="U17" s="816">
        <f t="shared" si="7"/>
        <v>0</v>
      </c>
      <c r="V17" s="816">
        <f t="shared" si="7"/>
        <v>0</v>
      </c>
      <c r="W17" s="816">
        <f t="shared" si="7"/>
        <v>0</v>
      </c>
      <c r="X17" s="44"/>
      <c r="Y17" s="816"/>
      <c r="Z17" s="484"/>
    </row>
    <row r="18" spans="1:26" ht="43.5" customHeight="1">
      <c r="A18" s="946">
        <v>13</v>
      </c>
      <c r="B18" s="1007" t="s">
        <v>668</v>
      </c>
      <c r="C18" s="478" t="s">
        <v>204</v>
      </c>
      <c r="D18" s="482"/>
      <c r="E18" s="44"/>
      <c r="F18" s="44"/>
      <c r="G18" s="44">
        <v>342608</v>
      </c>
      <c r="H18" s="44">
        <v>269770</v>
      </c>
      <c r="I18" s="44">
        <v>72838</v>
      </c>
      <c r="J18" s="1147">
        <f t="shared" si="5"/>
        <v>342608</v>
      </c>
      <c r="K18" s="1600">
        <f t="shared" si="6"/>
        <v>1</v>
      </c>
      <c r="L18" s="1135"/>
      <c r="M18" s="482"/>
      <c r="N18" s="44"/>
      <c r="O18" s="44"/>
      <c r="P18" s="924"/>
      <c r="Q18" s="690"/>
      <c r="R18" s="690"/>
      <c r="S18" s="484"/>
      <c r="T18" s="486"/>
      <c r="U18" s="690"/>
      <c r="V18" s="690"/>
      <c r="W18" s="816">
        <f>+G18-P18</f>
        <v>342608</v>
      </c>
      <c r="X18" s="44">
        <v>342608</v>
      </c>
      <c r="Y18" s="816"/>
      <c r="Z18" s="1603">
        <f>X18/W18</f>
        <v>1</v>
      </c>
    </row>
    <row r="19" spans="1:28" ht="43.5" customHeight="1">
      <c r="A19" s="946">
        <v>14</v>
      </c>
      <c r="B19" s="1810" t="s">
        <v>606</v>
      </c>
      <c r="C19" s="478" t="s">
        <v>204</v>
      </c>
      <c r="D19" s="482"/>
      <c r="E19" s="44"/>
      <c r="F19" s="44"/>
      <c r="G19" s="1148">
        <f>14850+1488134+55000+5511533</f>
        <v>7069517</v>
      </c>
      <c r="H19" s="44">
        <v>5561533</v>
      </c>
      <c r="I19" s="44">
        <v>1501614</v>
      </c>
      <c r="J19" s="1147">
        <f>+H19+I19</f>
        <v>7063147</v>
      </c>
      <c r="K19" s="1599">
        <f t="shared" si="6"/>
        <v>0.9990989483439958</v>
      </c>
      <c r="L19" s="1135"/>
      <c r="M19" s="482"/>
      <c r="N19" s="44"/>
      <c r="O19" s="44"/>
      <c r="P19" s="1148">
        <f>50000+13500+3661417+988582+70000+18900</f>
        <v>4802399</v>
      </c>
      <c r="Q19" s="690">
        <v>4802399</v>
      </c>
      <c r="R19" s="690"/>
      <c r="S19" s="1603">
        <f>Q19/P19</f>
        <v>1</v>
      </c>
      <c r="T19" s="486"/>
      <c r="U19" s="690"/>
      <c r="V19" s="690"/>
      <c r="W19" s="816">
        <f>+G19-P19</f>
        <v>2267118</v>
      </c>
      <c r="X19" s="44">
        <v>2260748</v>
      </c>
      <c r="Y19" s="816"/>
      <c r="Z19" s="1603">
        <f>X19/W19</f>
        <v>0.9971902653501052</v>
      </c>
      <c r="AA19" s="949"/>
      <c r="AB19" s="949"/>
    </row>
    <row r="20" spans="1:26" ht="43.5" customHeight="1" thickBot="1">
      <c r="A20" s="946">
        <v>16</v>
      </c>
      <c r="B20" s="769" t="s">
        <v>660</v>
      </c>
      <c r="C20" s="478" t="s">
        <v>204</v>
      </c>
      <c r="D20" s="482"/>
      <c r="E20" s="44"/>
      <c r="F20" s="44"/>
      <c r="G20" s="1148">
        <f>3000000+810000+1484200+400734</f>
        <v>5694934</v>
      </c>
      <c r="H20" s="44"/>
      <c r="I20" s="44"/>
      <c r="J20" s="1147">
        <f t="shared" si="5"/>
        <v>0</v>
      </c>
      <c r="K20" s="1600">
        <f>SUM(J20/G20)</f>
        <v>0</v>
      </c>
      <c r="L20" s="1135"/>
      <c r="M20" s="486"/>
      <c r="N20" s="690"/>
      <c r="O20" s="690"/>
      <c r="P20" s="924">
        <v>2887467</v>
      </c>
      <c r="Q20" s="690">
        <v>0</v>
      </c>
      <c r="R20" s="690"/>
      <c r="S20" s="1603">
        <f>Q20/P20</f>
        <v>0</v>
      </c>
      <c r="T20" s="486"/>
      <c r="U20" s="690"/>
      <c r="V20" s="690"/>
      <c r="W20" s="816">
        <f>+G20-P20</f>
        <v>2807467</v>
      </c>
      <c r="X20" s="44">
        <v>0</v>
      </c>
      <c r="Y20" s="816"/>
      <c r="Z20" s="1603">
        <f>X20/W20</f>
        <v>0</v>
      </c>
    </row>
    <row r="21" spans="1:26" ht="43.5" customHeight="1" hidden="1">
      <c r="A21" s="946"/>
      <c r="B21" s="769"/>
      <c r="C21" s="947"/>
      <c r="D21" s="482"/>
      <c r="E21" s="44"/>
      <c r="F21" s="44"/>
      <c r="G21" s="44"/>
      <c r="H21" s="44"/>
      <c r="I21" s="44"/>
      <c r="J21" s="1147"/>
      <c r="K21" s="1600" t="e">
        <f t="shared" si="6"/>
        <v>#DIV/0!</v>
      </c>
      <c r="L21" s="1135"/>
      <c r="M21" s="486"/>
      <c r="N21" s="690"/>
      <c r="O21" s="690"/>
      <c r="P21" s="924"/>
      <c r="Q21" s="690"/>
      <c r="R21" s="690"/>
      <c r="S21" s="484"/>
      <c r="T21" s="486"/>
      <c r="U21" s="690"/>
      <c r="V21" s="690"/>
      <c r="W21" s="44"/>
      <c r="X21" s="44"/>
      <c r="Y21" s="816"/>
      <c r="Z21" s="484"/>
    </row>
    <row r="22" spans="1:26" ht="29.25" customHeight="1" hidden="1" thickBot="1">
      <c r="A22" s="946"/>
      <c r="B22" s="52"/>
      <c r="C22" s="947" t="s">
        <v>204</v>
      </c>
      <c r="D22" s="482"/>
      <c r="E22" s="44"/>
      <c r="F22" s="44"/>
      <c r="G22" s="44"/>
      <c r="H22" s="44"/>
      <c r="I22" s="44"/>
      <c r="J22" s="1149"/>
      <c r="K22" s="1604" t="e">
        <f t="shared" si="6"/>
        <v>#DIV/0!</v>
      </c>
      <c r="L22" s="1136"/>
      <c r="M22" s="486"/>
      <c r="N22" s="690"/>
      <c r="O22" s="690"/>
      <c r="P22" s="922"/>
      <c r="Q22" s="690"/>
      <c r="R22" s="690"/>
      <c r="S22" s="484" t="e">
        <f>P22/N22</f>
        <v>#DIV/0!</v>
      </c>
      <c r="T22" s="486"/>
      <c r="U22" s="690"/>
      <c r="V22" s="690"/>
      <c r="W22" s="44">
        <f>G22-P22</f>
        <v>0</v>
      </c>
      <c r="X22" s="44"/>
      <c r="Y22" s="816">
        <f>+I22-R22</f>
        <v>0</v>
      </c>
      <c r="Z22" s="484" t="e">
        <f>W22/U22</f>
        <v>#DIV/0!</v>
      </c>
    </row>
    <row r="23" spans="1:27" ht="31.5" customHeight="1" thickBot="1">
      <c r="A23" s="1924" t="s">
        <v>1</v>
      </c>
      <c r="B23" s="1929"/>
      <c r="C23" s="938"/>
      <c r="D23" s="483">
        <f>SUM(D6:D19)</f>
        <v>60716012</v>
      </c>
      <c r="E23" s="688">
        <f>SUM(E6:E19)</f>
        <v>58497536</v>
      </c>
      <c r="F23" s="688">
        <f>SUM(F6:F19)</f>
        <v>65939917</v>
      </c>
      <c r="G23" s="688">
        <f>SUM(G6:G22)</f>
        <v>79046976</v>
      </c>
      <c r="H23" s="688">
        <f>SUM(H6:H22)</f>
        <v>46347463</v>
      </c>
      <c r="I23" s="688">
        <f>SUM(I6:I22)</f>
        <v>7951699</v>
      </c>
      <c r="J23" s="1592">
        <f>SUM(J6:J22)</f>
        <v>54299162</v>
      </c>
      <c r="K23" s="1605">
        <f t="shared" si="6"/>
        <v>0.6869226977133193</v>
      </c>
      <c r="L23" s="1137"/>
      <c r="M23" s="483">
        <f aca="true" t="shared" si="8" ref="M23:R23">SUM(M6:M22)</f>
        <v>15514412</v>
      </c>
      <c r="N23" s="688">
        <f>SUM(N6:N22)</f>
        <v>15514412</v>
      </c>
      <c r="O23" s="688">
        <f>SUM(O6:O22)</f>
        <v>22956793</v>
      </c>
      <c r="P23" s="688">
        <f t="shared" si="8"/>
        <v>30646659</v>
      </c>
      <c r="Q23" s="1579">
        <f t="shared" si="8"/>
        <v>20611811</v>
      </c>
      <c r="R23" s="688">
        <f t="shared" si="8"/>
        <v>0</v>
      </c>
      <c r="S23" s="689">
        <f>Q23/P23</f>
        <v>0.6725630679677025</v>
      </c>
      <c r="T23" s="483">
        <f aca="true" t="shared" si="9" ref="T23:Y23">SUM(T6:T22)</f>
        <v>45201600</v>
      </c>
      <c r="U23" s="688">
        <f t="shared" si="9"/>
        <v>42983124</v>
      </c>
      <c r="V23" s="688">
        <f>SUM(V6:V22)</f>
        <v>42983124</v>
      </c>
      <c r="W23" s="688">
        <f>SUM(W6:W22)</f>
        <v>48400317</v>
      </c>
      <c r="X23" s="1579">
        <f t="shared" si="9"/>
        <v>33687351</v>
      </c>
      <c r="Y23" s="688">
        <f t="shared" si="9"/>
        <v>0</v>
      </c>
      <c r="Z23" s="689">
        <f>X23/W23</f>
        <v>0.6960150901490997</v>
      </c>
      <c r="AA23" s="949"/>
    </row>
    <row r="24" spans="1:27" ht="15.75">
      <c r="A24" s="932"/>
      <c r="B24" s="932"/>
      <c r="C24" s="948"/>
      <c r="D24" s="85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V24" s="949"/>
      <c r="Y24" s="949"/>
      <c r="AA24" s="949"/>
    </row>
    <row r="25" spans="1:25" ht="15.75">
      <c r="A25" s="932"/>
      <c r="B25" s="935"/>
      <c r="C25" s="948"/>
      <c r="D25" s="950" t="str">
        <f>IF(M23+T23=D23," ","HIBA-NEM EGYENLŐ")</f>
        <v> 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V25" s="949"/>
      <c r="W25" s="949"/>
      <c r="X25" s="949">
        <f>SUM(X23+Q23)</f>
        <v>54299162</v>
      </c>
      <c r="Y25" s="949"/>
    </row>
    <row r="26" spans="1:21" ht="14.25">
      <c r="A26" s="1930" t="s">
        <v>59</v>
      </c>
      <c r="B26" s="1930"/>
      <c r="C26" s="1930"/>
      <c r="D26" s="1930"/>
      <c r="E26" s="1930"/>
      <c r="F26" s="1930"/>
      <c r="G26" s="1930"/>
      <c r="H26" s="1930"/>
      <c r="I26" s="1930"/>
      <c r="J26" s="1930"/>
      <c r="K26" s="1930"/>
      <c r="L26" s="1930"/>
      <c r="M26" s="1930"/>
      <c r="N26" s="1930"/>
      <c r="O26" s="1930"/>
      <c r="P26" s="1930"/>
      <c r="Q26" s="1930"/>
      <c r="R26" s="1930"/>
      <c r="S26" s="1930"/>
      <c r="T26" s="1930"/>
      <c r="U26" s="1930"/>
    </row>
    <row r="27" spans="1:20" ht="13.5" thickBot="1">
      <c r="A27" s="951"/>
      <c r="B27" s="951"/>
      <c r="D27" s="951"/>
      <c r="E27" s="951"/>
      <c r="F27" s="951"/>
      <c r="G27" s="951"/>
      <c r="H27" s="951"/>
      <c r="I27" s="951"/>
      <c r="J27" s="951"/>
      <c r="K27" s="951"/>
      <c r="L27" s="951"/>
      <c r="M27" s="951"/>
      <c r="N27" s="951"/>
      <c r="O27" s="951"/>
      <c r="P27" s="951"/>
      <c r="Q27" s="951"/>
      <c r="R27" s="951"/>
      <c r="S27" s="951"/>
      <c r="T27" s="951"/>
    </row>
    <row r="28" spans="1:26" ht="29.25" customHeight="1" thickBot="1">
      <c r="A28" s="936" t="s">
        <v>5</v>
      </c>
      <c r="B28" s="937" t="s">
        <v>30</v>
      </c>
      <c r="C28" s="938" t="s">
        <v>256</v>
      </c>
      <c r="D28" s="1926" t="s">
        <v>4</v>
      </c>
      <c r="E28" s="1927"/>
      <c r="F28" s="1927"/>
      <c r="G28" s="1927"/>
      <c r="H28" s="1927"/>
      <c r="I28" s="1927"/>
      <c r="J28" s="1928"/>
      <c r="K28" s="984"/>
      <c r="L28" s="984"/>
      <c r="M28" s="1921" t="s">
        <v>257</v>
      </c>
      <c r="N28" s="1922"/>
      <c r="O28" s="1922"/>
      <c r="P28" s="1922"/>
      <c r="Q28" s="1922"/>
      <c r="R28" s="1922"/>
      <c r="S28" s="1923"/>
      <c r="T28" s="1921" t="s">
        <v>25</v>
      </c>
      <c r="U28" s="1922"/>
      <c r="V28" s="1922"/>
      <c r="W28" s="1922"/>
      <c r="X28" s="1922"/>
      <c r="Y28" s="1922"/>
      <c r="Z28" s="1923"/>
    </row>
    <row r="29" spans="1:26" ht="28.5" customHeight="1" thickBot="1">
      <c r="A29" s="952"/>
      <c r="B29" s="953"/>
      <c r="C29" s="954"/>
      <c r="D29" s="942" t="s">
        <v>64</v>
      </c>
      <c r="E29" s="943" t="s">
        <v>220</v>
      </c>
      <c r="F29" s="943" t="s">
        <v>223</v>
      </c>
      <c r="G29" s="944" t="s">
        <v>225</v>
      </c>
      <c r="H29" s="944" t="s">
        <v>569</v>
      </c>
      <c r="I29" s="944" t="s">
        <v>570</v>
      </c>
      <c r="J29" s="945" t="s">
        <v>228</v>
      </c>
      <c r="K29" s="1606" t="s">
        <v>229</v>
      </c>
      <c r="L29" s="985"/>
      <c r="M29" s="942" t="s">
        <v>64</v>
      </c>
      <c r="N29" s="943" t="s">
        <v>220</v>
      </c>
      <c r="O29" s="943" t="s">
        <v>223</v>
      </c>
      <c r="P29" s="944" t="s">
        <v>225</v>
      </c>
      <c r="Q29" s="945" t="s">
        <v>228</v>
      </c>
      <c r="R29" s="944" t="s">
        <v>242</v>
      </c>
      <c r="S29" s="945" t="s">
        <v>229</v>
      </c>
      <c r="T29" s="942" t="s">
        <v>64</v>
      </c>
      <c r="U29" s="943" t="s">
        <v>220</v>
      </c>
      <c r="V29" s="943" t="s">
        <v>223</v>
      </c>
      <c r="W29" s="944" t="s">
        <v>225</v>
      </c>
      <c r="X29" s="945" t="s">
        <v>228</v>
      </c>
      <c r="Y29" s="944" t="s">
        <v>242</v>
      </c>
      <c r="Z29" s="945" t="s">
        <v>229</v>
      </c>
    </row>
    <row r="30" spans="1:27" ht="29.25" customHeight="1" thickBot="1">
      <c r="A30" s="955">
        <v>1</v>
      </c>
      <c r="B30" s="1008" t="s">
        <v>605</v>
      </c>
      <c r="C30" s="947" t="s">
        <v>204</v>
      </c>
      <c r="D30" s="481">
        <v>88570024</v>
      </c>
      <c r="E30" s="815">
        <f>88570024+3872379+1045542</f>
        <v>93487945</v>
      </c>
      <c r="F30" s="815">
        <f>88570024+3872379+1045542+989135+267066</f>
        <v>94744146</v>
      </c>
      <c r="G30" s="815">
        <f>88570024+3872379+1045542+989135+267066</f>
        <v>94744146</v>
      </c>
      <c r="H30" s="1140">
        <v>73893029</v>
      </c>
      <c r="I30" s="1140">
        <v>19951117</v>
      </c>
      <c r="J30" s="1147">
        <f aca="true" t="shared" si="10" ref="J30:J37">+H30+I30</f>
        <v>93844146</v>
      </c>
      <c r="K30" s="1600">
        <f aca="true" t="shared" si="11" ref="K30:K43">SUM(J30/G30)</f>
        <v>0.9905007323618706</v>
      </c>
      <c r="L30" s="1138">
        <f>+J30-G30</f>
        <v>-900000</v>
      </c>
      <c r="M30" s="1011">
        <v>76185600</v>
      </c>
      <c r="N30" s="1145">
        <v>76185600</v>
      </c>
      <c r="O30" s="1145">
        <v>76185600</v>
      </c>
      <c r="P30" s="1145">
        <v>76185601</v>
      </c>
      <c r="Q30" s="956">
        <v>76185601</v>
      </c>
      <c r="R30" s="956"/>
      <c r="S30" s="1603">
        <f>Q30/P30</f>
        <v>1</v>
      </c>
      <c r="T30" s="481">
        <f aca="true" t="shared" si="12" ref="T30:V36">+D30-M30</f>
        <v>12384424</v>
      </c>
      <c r="U30" s="815">
        <f t="shared" si="12"/>
        <v>17302345</v>
      </c>
      <c r="V30" s="815">
        <f t="shared" si="12"/>
        <v>18558546</v>
      </c>
      <c r="W30" s="815">
        <f aca="true" t="shared" si="13" ref="W30:W40">G30-P30</f>
        <v>18558545</v>
      </c>
      <c r="X30" s="815">
        <v>17658545</v>
      </c>
      <c r="Y30" s="815">
        <f aca="true" t="shared" si="14" ref="Y30:Y37">I30-R30</f>
        <v>19951117</v>
      </c>
      <c r="Z30" s="484">
        <f>X30/W30</f>
        <v>0.9515048189392002</v>
      </c>
      <c r="AA30" s="949"/>
    </row>
    <row r="31" spans="1:27" ht="29.25" customHeight="1" thickBot="1">
      <c r="A31" s="946">
        <v>2</v>
      </c>
      <c r="B31" s="1009" t="s">
        <v>632</v>
      </c>
      <c r="C31" s="947" t="s">
        <v>204</v>
      </c>
      <c r="D31" s="481">
        <v>73981400</v>
      </c>
      <c r="E31" s="815">
        <f>73981400-4359617-16146730+2136461+576845+430000+116100</f>
        <v>56734459</v>
      </c>
      <c r="F31" s="815">
        <f>73981400-4359617-16146730+2136461+576845+430000+116100</f>
        <v>56734459</v>
      </c>
      <c r="G31" s="815">
        <f>73981400-4359617-16146730+2136461+576845+430000+116100</f>
        <v>56734459</v>
      </c>
      <c r="H31" s="1141">
        <f>44672802</f>
        <v>44672802</v>
      </c>
      <c r="I31" s="1141">
        <v>12061657</v>
      </c>
      <c r="J31" s="1147">
        <f t="shared" si="10"/>
        <v>56734459</v>
      </c>
      <c r="K31" s="1600">
        <f t="shared" si="11"/>
        <v>1</v>
      </c>
      <c r="L31" s="1138">
        <f>+J31-G31</f>
        <v>0</v>
      </c>
      <c r="M31" s="1010">
        <f>5929200+21960000+116100+430000+116100</f>
        <v>28551400</v>
      </c>
      <c r="N31" s="1146">
        <f>5929200+21960000+116100+430000+116100</f>
        <v>28551400</v>
      </c>
      <c r="O31" s="1146">
        <f>5929200+21960000+116100+430000+116100</f>
        <v>28551400</v>
      </c>
      <c r="P31" s="1146">
        <f>5929200+21960000+116100+430000+116100</f>
        <v>28551400</v>
      </c>
      <c r="Q31" s="690">
        <v>28551400</v>
      </c>
      <c r="R31" s="690"/>
      <c r="S31" s="1607">
        <f>Q31/P31</f>
        <v>1</v>
      </c>
      <c r="T31" s="481">
        <f t="shared" si="12"/>
        <v>45430000</v>
      </c>
      <c r="U31" s="815">
        <f t="shared" si="12"/>
        <v>28183059</v>
      </c>
      <c r="V31" s="815">
        <f t="shared" si="12"/>
        <v>28183059</v>
      </c>
      <c r="W31" s="815">
        <f t="shared" si="13"/>
        <v>28183059</v>
      </c>
      <c r="X31" s="815">
        <v>28183059</v>
      </c>
      <c r="Y31" s="815">
        <f t="shared" si="14"/>
        <v>12061657</v>
      </c>
      <c r="Z31" s="484">
        <f aca="true" t="shared" si="15" ref="Z31:Z37">X31/W31</f>
        <v>1</v>
      </c>
      <c r="AA31" s="949"/>
    </row>
    <row r="32" spans="1:26" ht="29.25" customHeight="1" thickBot="1">
      <c r="A32" s="946">
        <v>3</v>
      </c>
      <c r="B32" s="1009" t="s">
        <v>606</v>
      </c>
      <c r="C32" s="947" t="s">
        <v>204</v>
      </c>
      <c r="D32" s="481">
        <v>5713499</v>
      </c>
      <c r="E32" s="815">
        <v>5713499</v>
      </c>
      <c r="F32" s="815">
        <f>5713499+1012714+273433</f>
        <v>6999646</v>
      </c>
      <c r="G32" s="1576">
        <f>+F32-(5511533+1488134)+21</f>
        <v>0</v>
      </c>
      <c r="H32" s="44"/>
      <c r="I32" s="44"/>
      <c r="J32" s="1147">
        <f t="shared" si="10"/>
        <v>0</v>
      </c>
      <c r="K32" s="1600"/>
      <c r="L32" s="1138">
        <f aca="true" t="shared" si="16" ref="L32:L41">+J32-G32</f>
        <v>0</v>
      </c>
      <c r="M32" s="1010">
        <f>50000+13500+3661417+988582+70000+18900</f>
        <v>4802399</v>
      </c>
      <c r="N32" s="1146">
        <f>50000+13500+3661417+988582+70000+18900</f>
        <v>4802399</v>
      </c>
      <c r="O32" s="1146">
        <f>50000+13500+3661417+988582+70000+18900</f>
        <v>4802399</v>
      </c>
      <c r="P32" s="1146">
        <v>0</v>
      </c>
      <c r="Q32" s="690"/>
      <c r="R32" s="690"/>
      <c r="S32" s="484"/>
      <c r="T32" s="481">
        <f t="shared" si="12"/>
        <v>911100</v>
      </c>
      <c r="U32" s="815">
        <f t="shared" si="12"/>
        <v>911100</v>
      </c>
      <c r="V32" s="815">
        <f t="shared" si="12"/>
        <v>2197247</v>
      </c>
      <c r="W32" s="815">
        <f t="shared" si="13"/>
        <v>0</v>
      </c>
      <c r="X32" s="815">
        <f>H32-Q32</f>
        <v>0</v>
      </c>
      <c r="Y32" s="815">
        <f t="shared" si="14"/>
        <v>0</v>
      </c>
      <c r="Z32" s="484"/>
    </row>
    <row r="33" spans="1:26" ht="29.25" customHeight="1" thickBot="1">
      <c r="A33" s="946">
        <v>4</v>
      </c>
      <c r="B33" s="925" t="s">
        <v>607</v>
      </c>
      <c r="C33" s="479" t="s">
        <v>204</v>
      </c>
      <c r="D33" s="481">
        <v>26000000</v>
      </c>
      <c r="E33" s="815">
        <v>26000000</v>
      </c>
      <c r="F33" s="815">
        <v>26000000</v>
      </c>
      <c r="G33" s="815">
        <v>26000000</v>
      </c>
      <c r="H33" s="1574">
        <v>19817248</v>
      </c>
      <c r="I33" s="1574">
        <v>5350657</v>
      </c>
      <c r="J33" s="1147">
        <f t="shared" si="10"/>
        <v>25167905</v>
      </c>
      <c r="K33" s="1600">
        <f t="shared" si="11"/>
        <v>0.9679963461538461</v>
      </c>
      <c r="L33" s="1138">
        <f t="shared" si="16"/>
        <v>-832095</v>
      </c>
      <c r="M33" s="486"/>
      <c r="N33" s="690"/>
      <c r="O33" s="690"/>
      <c r="P33" s="690">
        <v>0</v>
      </c>
      <c r="Q33" s="690">
        <v>0</v>
      </c>
      <c r="R33" s="690"/>
      <c r="S33" s="484"/>
      <c r="T33" s="481">
        <f t="shared" si="12"/>
        <v>26000000</v>
      </c>
      <c r="U33" s="815">
        <f t="shared" si="12"/>
        <v>26000000</v>
      </c>
      <c r="V33" s="815">
        <f t="shared" si="12"/>
        <v>26000000</v>
      </c>
      <c r="W33" s="815">
        <f t="shared" si="13"/>
        <v>26000000</v>
      </c>
      <c r="X33" s="815">
        <v>25167905</v>
      </c>
      <c r="Y33" s="815">
        <f t="shared" si="14"/>
        <v>5350657</v>
      </c>
      <c r="Z33" s="484">
        <f t="shared" si="15"/>
        <v>0.9679963461538461</v>
      </c>
    </row>
    <row r="34" spans="1:26" ht="48.75" customHeight="1" thickBot="1">
      <c r="A34" s="946">
        <v>5</v>
      </c>
      <c r="B34" s="925" t="s">
        <v>533</v>
      </c>
      <c r="C34" s="479" t="s">
        <v>203</v>
      </c>
      <c r="D34" s="481">
        <v>2066507</v>
      </c>
      <c r="E34" s="815">
        <f>2066507+126078+34041</f>
        <v>2226626</v>
      </c>
      <c r="F34" s="815">
        <f>2066507+126078+34041</f>
        <v>2226626</v>
      </c>
      <c r="G34" s="815">
        <f>2066507+126078+34041</f>
        <v>2226626</v>
      </c>
      <c r="H34" s="1574">
        <v>1753249</v>
      </c>
      <c r="I34" s="1574">
        <v>473377</v>
      </c>
      <c r="J34" s="1147">
        <f t="shared" si="10"/>
        <v>2226626</v>
      </c>
      <c r="K34" s="1600">
        <f t="shared" si="11"/>
        <v>1</v>
      </c>
      <c r="L34" s="1138">
        <f t="shared" si="16"/>
        <v>0</v>
      </c>
      <c r="M34" s="485">
        <v>2066507</v>
      </c>
      <c r="N34" s="814">
        <v>2066507</v>
      </c>
      <c r="O34" s="814">
        <v>2066507</v>
      </c>
      <c r="P34" s="814">
        <v>2066507</v>
      </c>
      <c r="Q34" s="814">
        <v>2066507</v>
      </c>
      <c r="R34" s="814"/>
      <c r="S34" s="1607">
        <f>Q34/P34</f>
        <v>1</v>
      </c>
      <c r="T34" s="481">
        <f t="shared" si="12"/>
        <v>0</v>
      </c>
      <c r="U34" s="815">
        <f t="shared" si="12"/>
        <v>160119</v>
      </c>
      <c r="V34" s="815">
        <f t="shared" si="12"/>
        <v>160119</v>
      </c>
      <c r="W34" s="815">
        <f t="shared" si="13"/>
        <v>160119</v>
      </c>
      <c r="X34" s="815">
        <v>160119</v>
      </c>
      <c r="Y34" s="815">
        <f t="shared" si="14"/>
        <v>473377</v>
      </c>
      <c r="Z34" s="484">
        <f t="shared" si="15"/>
        <v>1</v>
      </c>
    </row>
    <row r="35" spans="1:26" ht="28.5" customHeight="1" thickBot="1">
      <c r="A35" s="946">
        <v>6</v>
      </c>
      <c r="B35" s="925" t="s">
        <v>667</v>
      </c>
      <c r="C35" s="947" t="s">
        <v>204</v>
      </c>
      <c r="D35" s="481"/>
      <c r="E35" s="815">
        <v>130000</v>
      </c>
      <c r="F35" s="815">
        <v>130000</v>
      </c>
      <c r="G35" s="815">
        <v>130000</v>
      </c>
      <c r="H35" s="1574">
        <v>130000</v>
      </c>
      <c r="I35" s="1574"/>
      <c r="J35" s="1147">
        <f t="shared" si="10"/>
        <v>130000</v>
      </c>
      <c r="K35" s="1600">
        <f t="shared" si="11"/>
        <v>1</v>
      </c>
      <c r="L35" s="1138">
        <f t="shared" si="16"/>
        <v>0</v>
      </c>
      <c r="M35" s="485"/>
      <c r="N35" s="814"/>
      <c r="O35" s="814"/>
      <c r="P35" s="814"/>
      <c r="Q35" s="814"/>
      <c r="R35" s="814"/>
      <c r="S35" s="484"/>
      <c r="T35" s="481">
        <f t="shared" si="12"/>
        <v>0</v>
      </c>
      <c r="U35" s="815">
        <f t="shared" si="12"/>
        <v>130000</v>
      </c>
      <c r="V35" s="815">
        <f t="shared" si="12"/>
        <v>130000</v>
      </c>
      <c r="W35" s="815">
        <f t="shared" si="13"/>
        <v>130000</v>
      </c>
      <c r="X35" s="815">
        <v>130000</v>
      </c>
      <c r="Y35" s="815">
        <f t="shared" si="14"/>
        <v>0</v>
      </c>
      <c r="Z35" s="484">
        <f t="shared" si="15"/>
        <v>1</v>
      </c>
    </row>
    <row r="36" spans="1:26" ht="28.5" customHeight="1" thickBot="1">
      <c r="A36" s="946">
        <v>7</v>
      </c>
      <c r="B36" s="925" t="s">
        <v>666</v>
      </c>
      <c r="C36" s="947" t="s">
        <v>204</v>
      </c>
      <c r="D36" s="481"/>
      <c r="E36" s="815">
        <f>785000+211950</f>
        <v>996950</v>
      </c>
      <c r="F36" s="815">
        <f>785000+211950</f>
        <v>996950</v>
      </c>
      <c r="G36" s="815">
        <f>785000+211950+29999999</f>
        <v>30996949</v>
      </c>
      <c r="H36" s="1574">
        <v>785000</v>
      </c>
      <c r="I36" s="1574">
        <v>211950</v>
      </c>
      <c r="J36" s="1147">
        <f t="shared" si="10"/>
        <v>996950</v>
      </c>
      <c r="K36" s="1600">
        <f t="shared" si="11"/>
        <v>0.03216284286559945</v>
      </c>
      <c r="L36" s="1138">
        <f t="shared" si="16"/>
        <v>-29999999</v>
      </c>
      <c r="M36" s="485"/>
      <c r="N36" s="814"/>
      <c r="O36" s="814"/>
      <c r="P36" s="814">
        <v>29999999</v>
      </c>
      <c r="Q36" s="814"/>
      <c r="R36" s="814"/>
      <c r="S36" s="484"/>
      <c r="T36" s="481">
        <f t="shared" si="12"/>
        <v>0</v>
      </c>
      <c r="U36" s="815">
        <f t="shared" si="12"/>
        <v>996950</v>
      </c>
      <c r="V36" s="815">
        <f t="shared" si="12"/>
        <v>996950</v>
      </c>
      <c r="W36" s="815">
        <f t="shared" si="13"/>
        <v>996950</v>
      </c>
      <c r="X36" s="815">
        <v>996950</v>
      </c>
      <c r="Y36" s="815">
        <f t="shared" si="14"/>
        <v>211950</v>
      </c>
      <c r="Z36" s="484">
        <f t="shared" si="15"/>
        <v>1</v>
      </c>
    </row>
    <row r="37" spans="1:26" ht="48.75" customHeight="1" thickBot="1">
      <c r="A37" s="946">
        <v>8</v>
      </c>
      <c r="B37" s="925" t="s">
        <v>665</v>
      </c>
      <c r="C37" s="947" t="s">
        <v>204</v>
      </c>
      <c r="D37" s="481"/>
      <c r="E37" s="815"/>
      <c r="F37" s="815"/>
      <c r="G37" s="815">
        <v>5100000</v>
      </c>
      <c r="H37" s="1577">
        <f>100000</f>
        <v>100000</v>
      </c>
      <c r="I37" s="1575"/>
      <c r="J37" s="1578">
        <f t="shared" si="10"/>
        <v>100000</v>
      </c>
      <c r="K37" s="1600">
        <f t="shared" si="11"/>
        <v>0.0196078431372549</v>
      </c>
      <c r="L37" s="1138">
        <f t="shared" si="16"/>
        <v>-5000000</v>
      </c>
      <c r="M37" s="485"/>
      <c r="N37" s="814"/>
      <c r="O37" s="814"/>
      <c r="P37" s="814">
        <v>5000000</v>
      </c>
      <c r="Q37" s="814"/>
      <c r="R37" s="814"/>
      <c r="S37" s="484"/>
      <c r="T37" s="481">
        <f>+D37-M37</f>
        <v>0</v>
      </c>
      <c r="U37" s="814"/>
      <c r="V37" s="814"/>
      <c r="W37" s="815">
        <f t="shared" si="13"/>
        <v>100000</v>
      </c>
      <c r="X37" s="815">
        <v>100000</v>
      </c>
      <c r="Y37" s="815">
        <f t="shared" si="14"/>
        <v>0</v>
      </c>
      <c r="Z37" s="484">
        <f t="shared" si="15"/>
        <v>1</v>
      </c>
    </row>
    <row r="38" spans="1:26" ht="48.75" customHeight="1" hidden="1" thickBot="1">
      <c r="A38" s="946">
        <v>9</v>
      </c>
      <c r="B38" s="925"/>
      <c r="C38" s="947" t="s">
        <v>204</v>
      </c>
      <c r="D38" s="481"/>
      <c r="E38" s="815"/>
      <c r="F38" s="815"/>
      <c r="G38" s="815"/>
      <c r="H38" s="1143"/>
      <c r="I38" s="1144"/>
      <c r="J38" s="1142"/>
      <c r="K38" s="1600" t="e">
        <f t="shared" si="11"/>
        <v>#DIV/0!</v>
      </c>
      <c r="L38" s="1138">
        <f t="shared" si="16"/>
        <v>0</v>
      </c>
      <c r="M38" s="485"/>
      <c r="N38" s="814"/>
      <c r="O38" s="814"/>
      <c r="P38" s="814"/>
      <c r="Q38" s="814"/>
      <c r="R38" s="814"/>
      <c r="S38" s="484"/>
      <c r="T38" s="481">
        <f>+D38-M38</f>
        <v>0</v>
      </c>
      <c r="U38" s="814"/>
      <c r="V38" s="814"/>
      <c r="W38" s="815">
        <f t="shared" si="13"/>
        <v>0</v>
      </c>
      <c r="X38" s="815"/>
      <c r="Y38" s="815"/>
      <c r="Z38" s="484"/>
    </row>
    <row r="39" spans="1:26" ht="48.75" customHeight="1" hidden="1" thickBot="1">
      <c r="A39" s="946">
        <v>10</v>
      </c>
      <c r="B39" s="925"/>
      <c r="C39" s="947" t="s">
        <v>204</v>
      </c>
      <c r="D39" s="481"/>
      <c r="E39" s="815"/>
      <c r="F39" s="815"/>
      <c r="G39" s="815"/>
      <c r="H39" s="1143"/>
      <c r="I39" s="1144"/>
      <c r="J39" s="1142"/>
      <c r="K39" s="1600" t="e">
        <f t="shared" si="11"/>
        <v>#DIV/0!</v>
      </c>
      <c r="L39" s="1138">
        <f t="shared" si="16"/>
        <v>0</v>
      </c>
      <c r="M39" s="485"/>
      <c r="N39" s="814"/>
      <c r="O39" s="814"/>
      <c r="P39" s="814"/>
      <c r="Q39" s="814"/>
      <c r="R39" s="814"/>
      <c r="S39" s="484"/>
      <c r="T39" s="481">
        <f>+D39-M39</f>
        <v>0</v>
      </c>
      <c r="U39" s="814"/>
      <c r="V39" s="814"/>
      <c r="W39" s="815">
        <f t="shared" si="13"/>
        <v>0</v>
      </c>
      <c r="X39" s="815"/>
      <c r="Y39" s="815"/>
      <c r="Z39" s="484"/>
    </row>
    <row r="40" spans="1:26" ht="48.75" customHeight="1" hidden="1" thickBot="1">
      <c r="A40" s="957">
        <v>15</v>
      </c>
      <c r="B40" s="925"/>
      <c r="C40" s="479"/>
      <c r="D40" s="481"/>
      <c r="E40" s="815"/>
      <c r="F40" s="815"/>
      <c r="G40" s="815"/>
      <c r="H40" s="1143"/>
      <c r="I40" s="1144"/>
      <c r="J40" s="1142"/>
      <c r="K40" s="1600" t="e">
        <f t="shared" si="11"/>
        <v>#DIV/0!</v>
      </c>
      <c r="L40" s="1138">
        <f t="shared" si="16"/>
        <v>0</v>
      </c>
      <c r="M40" s="485"/>
      <c r="N40" s="814"/>
      <c r="O40" s="814"/>
      <c r="P40" s="814"/>
      <c r="Q40" s="814"/>
      <c r="R40" s="814"/>
      <c r="S40" s="484"/>
      <c r="T40" s="481"/>
      <c r="U40" s="814"/>
      <c r="V40" s="814"/>
      <c r="W40" s="815">
        <f t="shared" si="13"/>
        <v>0</v>
      </c>
      <c r="X40" s="815"/>
      <c r="Y40" s="815"/>
      <c r="Z40" s="484"/>
    </row>
    <row r="41" spans="1:26" ht="48.75" customHeight="1" hidden="1">
      <c r="A41" s="957">
        <v>16</v>
      </c>
      <c r="B41" s="925"/>
      <c r="C41" s="479"/>
      <c r="D41" s="481"/>
      <c r="E41" s="815"/>
      <c r="F41" s="815"/>
      <c r="G41" s="815"/>
      <c r="H41" s="815"/>
      <c r="I41" s="815"/>
      <c r="J41" s="1142"/>
      <c r="K41" s="1600" t="e">
        <f t="shared" si="11"/>
        <v>#DIV/0!</v>
      </c>
      <c r="L41" s="1138">
        <f t="shared" si="16"/>
        <v>0</v>
      </c>
      <c r="M41" s="485"/>
      <c r="N41" s="814"/>
      <c r="O41" s="814"/>
      <c r="P41" s="814"/>
      <c r="Q41" s="815"/>
      <c r="R41" s="815"/>
      <c r="S41" s="484"/>
      <c r="T41" s="485"/>
      <c r="U41" s="814"/>
      <c r="V41" s="814"/>
      <c r="W41" s="815"/>
      <c r="X41" s="815"/>
      <c r="Y41" s="815"/>
      <c r="Z41" s="484"/>
    </row>
    <row r="42" spans="1:26" ht="29.25" customHeight="1" hidden="1" thickBot="1">
      <c r="A42" s="957"/>
      <c r="B42" s="53"/>
      <c r="C42" s="479" t="s">
        <v>204</v>
      </c>
      <c r="D42" s="481"/>
      <c r="E42" s="815"/>
      <c r="F42" s="815"/>
      <c r="G42" s="815"/>
      <c r="H42" s="815"/>
      <c r="I42" s="815"/>
      <c r="J42" s="1142"/>
      <c r="K42" s="1604" t="e">
        <f t="shared" si="11"/>
        <v>#DIV/0!</v>
      </c>
      <c r="L42" s="1139"/>
      <c r="M42" s="485"/>
      <c r="N42" s="814"/>
      <c r="O42" s="814"/>
      <c r="P42" s="814"/>
      <c r="Q42" s="815"/>
      <c r="R42" s="815"/>
      <c r="S42" s="484" t="e">
        <f>P42/N42</f>
        <v>#DIV/0!</v>
      </c>
      <c r="T42" s="485"/>
      <c r="U42" s="814"/>
      <c r="V42" s="814"/>
      <c r="W42" s="815">
        <f>G42-P42</f>
        <v>0</v>
      </c>
      <c r="X42" s="815"/>
      <c r="Y42" s="815">
        <f>I42-R42</f>
        <v>0</v>
      </c>
      <c r="Z42" s="484" t="e">
        <f>W42/U42</f>
        <v>#DIV/0!</v>
      </c>
    </row>
    <row r="43" spans="1:26" ht="29.25" customHeight="1" thickBot="1">
      <c r="A43" s="1924" t="s">
        <v>1</v>
      </c>
      <c r="B43" s="1925"/>
      <c r="C43" s="938"/>
      <c r="D43" s="483">
        <f aca="true" t="shared" si="17" ref="D43:J43">SUM(D30:D42)</f>
        <v>196331430</v>
      </c>
      <c r="E43" s="688">
        <f>SUM(E30:E42)</f>
        <v>185289479</v>
      </c>
      <c r="F43" s="688">
        <f>SUM(F30:F42)</f>
        <v>187831827</v>
      </c>
      <c r="G43" s="1579">
        <f>SUM(G30:G42)</f>
        <v>215932180</v>
      </c>
      <c r="H43" s="688">
        <f t="shared" si="17"/>
        <v>141151328</v>
      </c>
      <c r="I43" s="688">
        <f t="shared" si="17"/>
        <v>38048758</v>
      </c>
      <c r="J43" s="1593">
        <f t="shared" si="17"/>
        <v>179200086</v>
      </c>
      <c r="K43" s="1605">
        <f t="shared" si="11"/>
        <v>0.8298905980572233</v>
      </c>
      <c r="L43" s="1137"/>
      <c r="M43" s="483">
        <f aca="true" t="shared" si="18" ref="M43:R43">SUM(M30:M42)</f>
        <v>111605906</v>
      </c>
      <c r="N43" s="688">
        <f>SUM(N30:N42)</f>
        <v>111605906</v>
      </c>
      <c r="O43" s="688">
        <f>SUM(O30:O42)</f>
        <v>111605906</v>
      </c>
      <c r="P43" s="1579">
        <f>SUM(P30:P42)</f>
        <v>141803507</v>
      </c>
      <c r="Q43" s="1594">
        <f t="shared" si="18"/>
        <v>106803508</v>
      </c>
      <c r="R43" s="688">
        <f t="shared" si="18"/>
        <v>0</v>
      </c>
      <c r="S43" s="689">
        <f>Q43/P43</f>
        <v>0.753179595198587</v>
      </c>
      <c r="T43" s="483">
        <f aca="true" t="shared" si="19" ref="T43:Y43">SUM(T30:T42)</f>
        <v>84725524</v>
      </c>
      <c r="U43" s="688">
        <f t="shared" si="19"/>
        <v>73683573</v>
      </c>
      <c r="V43" s="688">
        <f>SUM(V30:V42)</f>
        <v>76225921</v>
      </c>
      <c r="W43" s="1579">
        <f t="shared" si="19"/>
        <v>74128673</v>
      </c>
      <c r="X43" s="1594">
        <f t="shared" si="19"/>
        <v>72396578</v>
      </c>
      <c r="Y43" s="688">
        <f t="shared" si="19"/>
        <v>38048758</v>
      </c>
      <c r="Z43" s="689">
        <f>X43/W43</f>
        <v>0.9766339402838089</v>
      </c>
    </row>
    <row r="44" ht="15.75">
      <c r="D44" s="853"/>
    </row>
    <row r="45" spans="3:24" s="1595" customFormat="1" ht="15">
      <c r="C45" s="1596"/>
      <c r="D45" s="1597" t="str">
        <f>IF(M43+T43=D43," ","HIBA-NEM EGYENLŐ")</f>
        <v> </v>
      </c>
      <c r="E45" s="1598"/>
      <c r="F45" s="1598"/>
      <c r="G45" s="1598"/>
      <c r="H45" s="1598"/>
      <c r="I45" s="1598"/>
      <c r="J45" s="1598"/>
      <c r="K45" s="1598"/>
      <c r="L45" s="1598"/>
      <c r="M45" s="1598"/>
      <c r="N45" s="1598"/>
      <c r="O45" s="1598"/>
      <c r="P45" s="1598"/>
      <c r="Q45" s="1598"/>
      <c r="R45" s="1598"/>
      <c r="S45" s="1598"/>
      <c r="T45" s="1598"/>
      <c r="W45" s="1598">
        <f>SUM(W43+P43)</f>
        <v>215932180</v>
      </c>
      <c r="X45" s="1598">
        <f>SUM(X43+Q43)</f>
        <v>179200086</v>
      </c>
    </row>
    <row r="46" spans="10:23" ht="12.75" hidden="1">
      <c r="J46" s="949">
        <f>SUM(J23+J43)</f>
        <v>233499248</v>
      </c>
      <c r="W46" s="949"/>
    </row>
    <row r="47" ht="12.75" hidden="1"/>
    <row r="48" ht="12.75" hidden="1"/>
  </sheetData>
  <sheetProtection/>
  <mergeCells count="11">
    <mergeCell ref="A2:U2"/>
    <mergeCell ref="A26:U26"/>
    <mergeCell ref="T3:U3"/>
    <mergeCell ref="D28:J28"/>
    <mergeCell ref="M28:S28"/>
    <mergeCell ref="T28:Z28"/>
    <mergeCell ref="A43:B43"/>
    <mergeCell ref="D4:J4"/>
    <mergeCell ref="M4:S4"/>
    <mergeCell ref="T4:Z4"/>
    <mergeCell ref="A23:B23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landscape" paperSize="9" scale="43" r:id="rId1"/>
  <headerFooter alignWithMargins="0">
    <oddHeader xml:space="preserve">&amp;CÖNKORMÁNYZATI BERUHÁZÁSOK ÉS FELÚJÍTÁSOK
2020.
&amp;R&amp;"Arial CE,Félkövér dőlt"7/a számú melléklet </oddHeader>
  </headerFooter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P38"/>
  <sheetViews>
    <sheetView view="pageBreakPreview" zoomScale="60" workbookViewId="0" topLeftCell="A1">
      <pane ySplit="8" topLeftCell="A14" activePane="bottomLeft" state="frozen"/>
      <selection pane="topLeft" activeCell="B1" sqref="B1"/>
      <selection pane="bottomLeft" activeCell="I23" sqref="I23"/>
    </sheetView>
  </sheetViews>
  <sheetFormatPr defaultColWidth="9.140625" defaultRowHeight="12.75"/>
  <cols>
    <col min="1" max="1" width="6.57421875" style="14" customWidth="1"/>
    <col min="2" max="2" width="26.7109375" style="964" customWidth="1"/>
    <col min="3" max="3" width="28.28125" style="964" customWidth="1"/>
    <col min="4" max="4" width="5.00390625" style="14" customWidth="1"/>
    <col min="5" max="5" width="14.57421875" style="14" customWidth="1"/>
    <col min="6" max="6" width="14.57421875" style="14" hidden="1" customWidth="1"/>
    <col min="7" max="7" width="15.7109375" style="14" hidden="1" customWidth="1"/>
    <col min="8" max="8" width="13.57421875" style="14" customWidth="1"/>
    <col min="9" max="9" width="12.57421875" style="14" customWidth="1"/>
    <col min="10" max="10" width="16.57421875" style="14" customWidth="1"/>
    <col min="11" max="11" width="14.7109375" style="14" customWidth="1"/>
    <col min="12" max="12" width="11.421875" style="14" customWidth="1"/>
    <col min="13" max="15" width="9.140625" style="14" customWidth="1"/>
    <col min="16" max="16384" width="9.140625" style="14" customWidth="1"/>
  </cols>
  <sheetData>
    <row r="1" spans="2:9" ht="12.75">
      <c r="B1" s="994"/>
      <c r="D1" s="1936" t="s">
        <v>1008</v>
      </c>
      <c r="E1" s="1936"/>
      <c r="F1" s="1936"/>
      <c r="G1" s="1936"/>
      <c r="H1" s="1936"/>
      <c r="I1" s="1936"/>
    </row>
    <row r="2" ht="12.75">
      <c r="B2" s="994"/>
    </row>
    <row r="3" spans="1:6" ht="18">
      <c r="A3" s="1934" t="s">
        <v>55</v>
      </c>
      <c r="B3" s="1934"/>
      <c r="C3" s="1934"/>
      <c r="D3" s="1934"/>
      <c r="E3" s="1934"/>
      <c r="F3" s="995"/>
    </row>
    <row r="4" spans="1:6" ht="18">
      <c r="A4" s="1934" t="s">
        <v>498</v>
      </c>
      <c r="B4" s="1934"/>
      <c r="C4" s="1934"/>
      <c r="D4" s="1934"/>
      <c r="E4" s="1934"/>
      <c r="F4" s="995"/>
    </row>
    <row r="5" spans="1:6" ht="18">
      <c r="A5" s="995"/>
      <c r="B5" s="996"/>
      <c r="C5" s="996"/>
      <c r="D5" s="995"/>
      <c r="E5" s="995"/>
      <c r="F5" s="995"/>
    </row>
    <row r="6" spans="1:6" ht="15.75">
      <c r="A6" s="1935" t="s">
        <v>593</v>
      </c>
      <c r="B6" s="1935"/>
      <c r="C6" s="1935"/>
      <c r="D6" s="1935"/>
      <c r="E6" s="1935"/>
      <c r="F6" s="997"/>
    </row>
    <row r="7" spans="1:10" ht="16.5" customHeight="1" thickBot="1">
      <c r="A7" s="998"/>
      <c r="B7" s="999"/>
      <c r="C7" s="1937" t="s">
        <v>472</v>
      </c>
      <c r="D7" s="1937"/>
      <c r="E7" s="1937"/>
      <c r="F7" s="1937"/>
      <c r="G7" s="1937"/>
      <c r="H7" s="1937"/>
      <c r="I7" s="1937"/>
      <c r="J7" s="1937"/>
    </row>
    <row r="8" spans="1:11" ht="45.75" customHeight="1" thickBot="1">
      <c r="A8" s="1283" t="s">
        <v>18</v>
      </c>
      <c r="B8" s="1000" t="s">
        <v>16</v>
      </c>
      <c r="C8" s="1000" t="s">
        <v>17</v>
      </c>
      <c r="D8" s="1284" t="s">
        <v>29</v>
      </c>
      <c r="E8" s="1000" t="s">
        <v>202</v>
      </c>
      <c r="F8" s="1000" t="s">
        <v>220</v>
      </c>
      <c r="G8" s="1000" t="s">
        <v>223</v>
      </c>
      <c r="H8" s="1285" t="s">
        <v>225</v>
      </c>
      <c r="I8" s="1279" t="s">
        <v>228</v>
      </c>
      <c r="J8" s="1000" t="s">
        <v>1007</v>
      </c>
      <c r="K8" s="968"/>
    </row>
    <row r="9" spans="1:10" s="1614" customFormat="1" ht="30" customHeight="1" thickBot="1">
      <c r="A9" s="1608">
        <v>1</v>
      </c>
      <c r="B9" s="1609" t="s">
        <v>327</v>
      </c>
      <c r="C9" s="1609" t="str">
        <f>+'[2]Beled Közös Hiv.'!$B$6</f>
        <v>Informatikai eszközök létesítése (nagyértékű)</v>
      </c>
      <c r="D9" s="1610" t="s">
        <v>14</v>
      </c>
      <c r="E9" s="1611">
        <v>444500</v>
      </c>
      <c r="F9" s="1611">
        <v>444500</v>
      </c>
      <c r="G9" s="1611">
        <v>444500</v>
      </c>
      <c r="H9" s="1612">
        <f>426896+36120+26424</f>
        <v>489440</v>
      </c>
      <c r="I9" s="1613">
        <v>489440</v>
      </c>
      <c r="J9" s="1620">
        <f>I9/H9</f>
        <v>1</v>
      </c>
    </row>
    <row r="10" spans="1:11" s="1614" customFormat="1" ht="30" customHeight="1" thickBot="1">
      <c r="A10" s="1615">
        <v>2</v>
      </c>
      <c r="B10" s="1609" t="s">
        <v>327</v>
      </c>
      <c r="C10" s="1609" t="str">
        <f>+'[2]Beled Közös Hiv.'!$B$11</f>
        <v>Egyéb berendezések beszerzése</v>
      </c>
      <c r="D10" s="1616" t="s">
        <v>14</v>
      </c>
      <c r="E10" s="1611">
        <v>444500</v>
      </c>
      <c r="F10" s="1611">
        <v>444500</v>
      </c>
      <c r="G10" s="1611">
        <v>444500</v>
      </c>
      <c r="H10" s="1617">
        <f>21000+5670</f>
        <v>26670</v>
      </c>
      <c r="I10" s="1618">
        <v>26670</v>
      </c>
      <c r="J10" s="1620">
        <f aca="true" t="shared" si="0" ref="J10:J32">I10/H10</f>
        <v>1</v>
      </c>
      <c r="K10" s="1619"/>
    </row>
    <row r="11" spans="1:10" ht="30" customHeight="1" thickBot="1">
      <c r="A11" s="40">
        <v>3</v>
      </c>
      <c r="B11" s="770" t="s">
        <v>211</v>
      </c>
      <c r="C11" s="770" t="str">
        <f>+'[3]bölcsőde'!$C$81</f>
        <v>Homoktakaró , baby taxi, trambulin</v>
      </c>
      <c r="D11" s="1287" t="s">
        <v>14</v>
      </c>
      <c r="E11" s="1286">
        <v>114300</v>
      </c>
      <c r="F11" s="1286">
        <v>114300</v>
      </c>
      <c r="G11" s="1286">
        <v>114300</v>
      </c>
      <c r="H11" s="1288">
        <v>0</v>
      </c>
      <c r="I11" s="1280"/>
      <c r="J11" s="1620"/>
    </row>
    <row r="12" spans="1:16" ht="30" customHeight="1" thickBot="1">
      <c r="A12" s="40">
        <v>4</v>
      </c>
      <c r="B12" s="770" t="s">
        <v>211</v>
      </c>
      <c r="C12" s="770" t="str">
        <f>+'[3]bölcsőde'!$C$82</f>
        <v>mikrohullámú sütő</v>
      </c>
      <c r="D12" s="1290" t="s">
        <v>14</v>
      </c>
      <c r="E12" s="1286">
        <v>25400</v>
      </c>
      <c r="F12" s="1286">
        <v>25400</v>
      </c>
      <c r="G12" s="1286">
        <v>25400</v>
      </c>
      <c r="H12" s="1289">
        <v>27990</v>
      </c>
      <c r="I12" s="1280">
        <v>27990</v>
      </c>
      <c r="J12" s="1620">
        <f t="shared" si="0"/>
        <v>1</v>
      </c>
      <c r="K12" s="968"/>
      <c r="N12" s="968"/>
      <c r="P12" s="968"/>
    </row>
    <row r="13" spans="1:10" ht="30" customHeight="1" thickBot="1">
      <c r="A13" s="40">
        <v>5</v>
      </c>
      <c r="B13" s="770" t="s">
        <v>211</v>
      </c>
      <c r="C13" s="770" t="str">
        <f>+'[3]bölcsőde'!$C$83</f>
        <v>benti csúszda</v>
      </c>
      <c r="D13" s="1290" t="s">
        <v>14</v>
      </c>
      <c r="E13" s="1286">
        <v>203199.8</v>
      </c>
      <c r="F13" s="1286">
        <v>203199.8</v>
      </c>
      <c r="G13" s="1286">
        <v>203199.8</v>
      </c>
      <c r="H13" s="1288">
        <v>0</v>
      </c>
      <c r="I13" s="1280"/>
      <c r="J13" s="1620"/>
    </row>
    <row r="14" spans="1:10" ht="30" customHeight="1" thickBot="1">
      <c r="A14" s="40">
        <v>6</v>
      </c>
      <c r="B14" s="770" t="s">
        <v>211</v>
      </c>
      <c r="C14" s="770" t="str">
        <f>+'[3]intézményi étkezés óvoda'!$B$5</f>
        <v>3 részes légkeveréses sütő</v>
      </c>
      <c r="D14" s="1295" t="s">
        <v>14</v>
      </c>
      <c r="E14" s="1286">
        <v>800000.17</v>
      </c>
      <c r="F14" s="1286">
        <v>800000.17</v>
      </c>
      <c r="G14" s="1286">
        <v>800000.17</v>
      </c>
      <c r="H14" s="1289">
        <v>0</v>
      </c>
      <c r="I14" s="1281"/>
      <c r="J14" s="1620"/>
    </row>
    <row r="15" spans="1:10" ht="30" customHeight="1" thickBot="1">
      <c r="A15" s="40">
        <v>7</v>
      </c>
      <c r="B15" s="770" t="s">
        <v>211</v>
      </c>
      <c r="C15" s="770" t="str">
        <f>+'[3]intézményi étkezés óvoda'!$B$6</f>
        <v>400 literes fagyasztó láda</v>
      </c>
      <c r="D15" s="1296" t="s">
        <v>14</v>
      </c>
      <c r="E15" s="1286">
        <v>164999.67</v>
      </c>
      <c r="F15" s="1286">
        <v>164999.67</v>
      </c>
      <c r="G15" s="1286">
        <v>164999.67</v>
      </c>
      <c r="H15" s="1289">
        <v>0</v>
      </c>
      <c r="I15" s="1281"/>
      <c r="J15" s="1620"/>
    </row>
    <row r="16" spans="1:11" ht="36.75" customHeight="1" thickBot="1">
      <c r="A16" s="40">
        <v>8</v>
      </c>
      <c r="B16" s="770" t="s">
        <v>211</v>
      </c>
      <c r="C16" s="770" t="str">
        <f>+'[3]művház'!$B$131</f>
        <v>mosógép, porszívó, állófogasok 2 db</v>
      </c>
      <c r="D16" s="1296" t="s">
        <v>14</v>
      </c>
      <c r="E16" s="1286">
        <v>228600</v>
      </c>
      <c r="F16" s="1286">
        <v>228600</v>
      </c>
      <c r="G16" s="1286">
        <v>228600</v>
      </c>
      <c r="H16" s="1289">
        <v>0</v>
      </c>
      <c r="I16" s="1281"/>
      <c r="J16" s="1620"/>
      <c r="K16" s="968"/>
    </row>
    <row r="17" spans="1:16" ht="36.75" customHeight="1" thickBot="1">
      <c r="A17" s="40">
        <v>9</v>
      </c>
      <c r="B17" s="770" t="s">
        <v>211</v>
      </c>
      <c r="C17" s="770" t="str">
        <f>+'[3]Beled óvoda'!$B$151</f>
        <v>iratmegsemmisítő, szőnyegtisztító gép</v>
      </c>
      <c r="D17" s="1290" t="s">
        <v>14</v>
      </c>
      <c r="E17" s="1286">
        <v>190500</v>
      </c>
      <c r="F17" s="1286">
        <v>190500</v>
      </c>
      <c r="G17" s="1286">
        <v>190500</v>
      </c>
      <c r="H17" s="1289">
        <v>0</v>
      </c>
      <c r="I17" s="1281"/>
      <c r="J17" s="1620"/>
      <c r="K17" s="968"/>
      <c r="P17" s="968"/>
    </row>
    <row r="18" spans="1:11" ht="36.75" customHeight="1" thickBot="1">
      <c r="A18" s="40">
        <v>10</v>
      </c>
      <c r="B18" s="770" t="s">
        <v>211</v>
      </c>
      <c r="C18" s="770" t="str">
        <f>+'[3]Beled óvoda'!$B$152</f>
        <v>udvari asztal, padok, tranbulin, napernyők</v>
      </c>
      <c r="D18" s="1290" t="s">
        <v>14</v>
      </c>
      <c r="E18" s="1286">
        <v>254000</v>
      </c>
      <c r="F18" s="1286">
        <v>254000</v>
      </c>
      <c r="G18" s="1286">
        <v>254000</v>
      </c>
      <c r="H18" s="1289">
        <v>0</v>
      </c>
      <c r="I18" s="1281"/>
      <c r="J18" s="1620"/>
      <c r="K18" s="968"/>
    </row>
    <row r="19" spans="1:11" ht="36.75" customHeight="1" thickBot="1">
      <c r="A19" s="40">
        <v>11</v>
      </c>
      <c r="B19" s="770" t="s">
        <v>211</v>
      </c>
      <c r="C19" s="770" t="str">
        <f>+'[3]Beled óvoda'!$B$149</f>
        <v>ágvágó, sövénynyíró</v>
      </c>
      <c r="D19" s="1290" t="s">
        <v>14</v>
      </c>
      <c r="E19" s="1286">
        <v>114300</v>
      </c>
      <c r="F19" s="1286">
        <v>114300</v>
      </c>
      <c r="G19" s="1286">
        <v>114300</v>
      </c>
      <c r="H19" s="1289">
        <v>0</v>
      </c>
      <c r="I19" s="1281"/>
      <c r="J19" s="1620"/>
      <c r="K19" s="968"/>
    </row>
    <row r="20" spans="1:11" ht="36.75" customHeight="1" thickBot="1">
      <c r="A20" s="40">
        <v>12</v>
      </c>
      <c r="B20" s="770" t="s">
        <v>211</v>
      </c>
      <c r="C20" s="770" t="s">
        <v>662</v>
      </c>
      <c r="D20" s="1290" t="s">
        <v>14</v>
      </c>
      <c r="E20" s="1286"/>
      <c r="F20" s="1286"/>
      <c r="G20" s="1286"/>
      <c r="H20" s="1289">
        <f>28016+7564</f>
        <v>35580</v>
      </c>
      <c r="I20" s="1281">
        <v>35580</v>
      </c>
      <c r="J20" s="1620">
        <f t="shared" si="0"/>
        <v>1</v>
      </c>
      <c r="K20" s="968"/>
    </row>
    <row r="21" spans="1:11" ht="36.75" customHeight="1" thickBot="1">
      <c r="A21" s="20">
        <v>13</v>
      </c>
      <c r="B21" s="770" t="s">
        <v>211</v>
      </c>
      <c r="C21" s="770" t="s">
        <v>661</v>
      </c>
      <c r="D21" s="1290" t="s">
        <v>14</v>
      </c>
      <c r="E21" s="1286"/>
      <c r="F21" s="1286"/>
      <c r="G21" s="1286"/>
      <c r="H21" s="1289">
        <f>106000+28620</f>
        <v>134620</v>
      </c>
      <c r="I21" s="1281">
        <v>134620</v>
      </c>
      <c r="J21" s="1620">
        <f t="shared" si="0"/>
        <v>1</v>
      </c>
      <c r="K21" s="968"/>
    </row>
    <row r="22" spans="1:11" ht="36.75" customHeight="1" thickBot="1">
      <c r="A22" s="40">
        <v>14</v>
      </c>
      <c r="B22" s="770" t="s">
        <v>211</v>
      </c>
      <c r="C22" s="770" t="s">
        <v>663</v>
      </c>
      <c r="D22" s="1290" t="s">
        <v>14</v>
      </c>
      <c r="E22" s="1286"/>
      <c r="F22" s="1286"/>
      <c r="G22" s="1286"/>
      <c r="H22" s="1289">
        <f>23466+6336</f>
        <v>29802</v>
      </c>
      <c r="I22" s="1281">
        <v>29802</v>
      </c>
      <c r="J22" s="1620">
        <f t="shared" si="0"/>
        <v>1</v>
      </c>
      <c r="K22" s="968"/>
    </row>
    <row r="23" spans="1:11" ht="36.75" customHeight="1" thickBot="1">
      <c r="A23" s="20">
        <v>15</v>
      </c>
      <c r="B23" s="770" t="s">
        <v>211</v>
      </c>
      <c r="C23" s="770" t="s">
        <v>664</v>
      </c>
      <c r="D23" s="1290" t="s">
        <v>14</v>
      </c>
      <c r="E23" s="1286"/>
      <c r="F23" s="1286"/>
      <c r="G23" s="1286"/>
      <c r="H23" s="1289">
        <f>335180+90499</f>
        <v>425679</v>
      </c>
      <c r="I23" s="1281">
        <v>425679</v>
      </c>
      <c r="J23" s="1620">
        <f t="shared" si="0"/>
        <v>1</v>
      </c>
      <c r="K23" s="968"/>
    </row>
    <row r="24" spans="1:11" ht="36.75" customHeight="1" hidden="1" thickBot="1">
      <c r="A24" s="40">
        <v>16</v>
      </c>
      <c r="B24" s="770" t="s">
        <v>211</v>
      </c>
      <c r="C24" s="1297"/>
      <c r="D24" s="1290" t="s">
        <v>14</v>
      </c>
      <c r="E24" s="1286"/>
      <c r="F24" s="1286"/>
      <c r="G24" s="1286"/>
      <c r="H24" s="1289"/>
      <c r="I24" s="1281"/>
      <c r="J24" s="1620" t="e">
        <f t="shared" si="0"/>
        <v>#DIV/0!</v>
      </c>
      <c r="K24" s="968"/>
    </row>
    <row r="25" spans="1:11" ht="36.75" customHeight="1" hidden="1">
      <c r="A25" s="20">
        <v>17</v>
      </c>
      <c r="B25" s="770" t="s">
        <v>211</v>
      </c>
      <c r="C25" s="39"/>
      <c r="D25" s="1290" t="s">
        <v>14</v>
      </c>
      <c r="E25" s="1286"/>
      <c r="F25" s="1286"/>
      <c r="G25" s="1286"/>
      <c r="H25" s="1289"/>
      <c r="I25" s="1281"/>
      <c r="J25" s="1620" t="e">
        <f t="shared" si="0"/>
        <v>#DIV/0!</v>
      </c>
      <c r="K25" s="968"/>
    </row>
    <row r="26" spans="1:11" ht="36.75" customHeight="1" hidden="1">
      <c r="A26" s="40">
        <v>21</v>
      </c>
      <c r="B26" s="770" t="s">
        <v>211</v>
      </c>
      <c r="C26" s="1291"/>
      <c r="D26" s="1290" t="s">
        <v>14</v>
      </c>
      <c r="E26" s="1286"/>
      <c r="F26" s="1286"/>
      <c r="G26" s="1286"/>
      <c r="H26" s="1289"/>
      <c r="I26" s="1281"/>
      <c r="J26" s="1620" t="e">
        <f t="shared" si="0"/>
        <v>#DIV/0!</v>
      </c>
      <c r="K26" s="968"/>
    </row>
    <row r="27" spans="1:11" ht="36.75" customHeight="1" hidden="1">
      <c r="A27" s="40">
        <v>22</v>
      </c>
      <c r="B27" s="770" t="s">
        <v>211</v>
      </c>
      <c r="C27" s="39"/>
      <c r="D27" s="1290" t="s">
        <v>14</v>
      </c>
      <c r="E27" s="1286"/>
      <c r="F27" s="1286"/>
      <c r="G27" s="1286"/>
      <c r="H27" s="1289"/>
      <c r="I27" s="1281"/>
      <c r="J27" s="1620" t="e">
        <f t="shared" si="0"/>
        <v>#DIV/0!</v>
      </c>
      <c r="K27" s="968"/>
    </row>
    <row r="28" spans="1:11" ht="36.75" customHeight="1" hidden="1">
      <c r="A28" s="40">
        <v>23</v>
      </c>
      <c r="B28" s="770" t="s">
        <v>211</v>
      </c>
      <c r="C28" s="39"/>
      <c r="D28" s="1290" t="s">
        <v>14</v>
      </c>
      <c r="E28" s="1286"/>
      <c r="F28" s="1286"/>
      <c r="G28" s="1286"/>
      <c r="H28" s="1289"/>
      <c r="I28" s="1281"/>
      <c r="J28" s="1620" t="e">
        <f t="shared" si="0"/>
        <v>#DIV/0!</v>
      </c>
      <c r="K28" s="968"/>
    </row>
    <row r="29" spans="1:12" ht="36.75" customHeight="1" hidden="1">
      <c r="A29" s="40">
        <v>24</v>
      </c>
      <c r="B29" s="770" t="s">
        <v>211</v>
      </c>
      <c r="C29" s="39"/>
      <c r="D29" s="1290" t="s">
        <v>14</v>
      </c>
      <c r="E29" s="1286"/>
      <c r="F29" s="1286"/>
      <c r="G29" s="1286"/>
      <c r="H29" s="1289"/>
      <c r="I29" s="1281"/>
      <c r="J29" s="1620" t="e">
        <f t="shared" si="0"/>
        <v>#DIV/0!</v>
      </c>
      <c r="L29" s="1001"/>
    </row>
    <row r="30" spans="1:12" ht="36.75" customHeight="1" hidden="1">
      <c r="A30" s="40">
        <v>25</v>
      </c>
      <c r="B30" s="770" t="s">
        <v>211</v>
      </c>
      <c r="C30" s="39"/>
      <c r="D30" s="1290" t="s">
        <v>14</v>
      </c>
      <c r="E30" s="1286"/>
      <c r="F30" s="1286"/>
      <c r="G30" s="1286"/>
      <c r="H30" s="1289"/>
      <c r="I30" s="1281"/>
      <c r="J30" s="1620" t="e">
        <f t="shared" si="0"/>
        <v>#DIV/0!</v>
      </c>
      <c r="L30" s="1001"/>
    </row>
    <row r="31" spans="1:12" ht="36.75" customHeight="1" hidden="1" thickBot="1">
      <c r="A31" s="1005">
        <v>26</v>
      </c>
      <c r="B31" s="770" t="s">
        <v>211</v>
      </c>
      <c r="C31" s="39"/>
      <c r="D31" s="1290" t="s">
        <v>14</v>
      </c>
      <c r="E31" s="1286"/>
      <c r="F31" s="1286"/>
      <c r="G31" s="1286"/>
      <c r="H31" s="1289"/>
      <c r="I31" s="1281"/>
      <c r="J31" s="1620" t="e">
        <f t="shared" si="0"/>
        <v>#DIV/0!</v>
      </c>
      <c r="L31" s="1001"/>
    </row>
    <row r="32" spans="1:12" s="1004" customFormat="1" ht="30" customHeight="1" thickBot="1">
      <c r="A32" s="1932" t="s">
        <v>1</v>
      </c>
      <c r="B32" s="1933"/>
      <c r="C32" s="1002"/>
      <c r="D32" s="1292"/>
      <c r="E32" s="1293">
        <f>SUM(E9:E31)</f>
        <v>2984299.64</v>
      </c>
      <c r="F32" s="1293">
        <f>SUM(F9:F31)</f>
        <v>2984299.64</v>
      </c>
      <c r="G32" s="1293">
        <f>SUM(G9:G31)</f>
        <v>2984299.64</v>
      </c>
      <c r="H32" s="1294">
        <f>SUM(H9:H31)</f>
        <v>1169781</v>
      </c>
      <c r="I32" s="1282">
        <f>SUM(I9:I31)</f>
        <v>1169781</v>
      </c>
      <c r="J32" s="1621">
        <f t="shared" si="0"/>
        <v>1</v>
      </c>
      <c r="K32" s="1003"/>
      <c r="L32" s="1003"/>
    </row>
    <row r="33" ht="12.75" hidden="1">
      <c r="K33" s="14">
        <f>301792+3624773</f>
        <v>3926565</v>
      </c>
    </row>
    <row r="34" spans="5:11" ht="12.75" hidden="1">
      <c r="E34" s="14" t="str">
        <f>IF(E32='5.2 sz. m ÁMK'!D44+'5.2 sz. m ÁMK'!D46+'5.1 sz. m Köz Hiv'!D41+'5.1 sz. m Köz Hiv'!D42," ","HIBA - nem egyenlő")</f>
        <v>HIBA - nem egyenlő</v>
      </c>
      <c r="F34" s="14" t="str">
        <f>IF(F32='5.2 sz. m ÁMK'!E44+'5.2 sz. m ÁMK'!E46+'5.1 sz. m Köz Hiv'!E41+'5.1 sz. m Köz Hiv'!E42," ","HIBA - nem egyenlő")</f>
        <v>HIBA - nem egyenlő</v>
      </c>
      <c r="H34" s="14">
        <f>+'5.2 sz. m ÁMK'!F44+'5.1 sz. m Köz Hiv'!G41</f>
        <v>2611410</v>
      </c>
      <c r="I34" s="14">
        <f>+'5.2 sz. m ÁMK'!G44+'5.1 sz. m Köz Hiv'!H41</f>
        <v>1169781</v>
      </c>
      <c r="J34" s="14">
        <f>+'5.2 sz. m ÁMK'!H44+'5.1 sz. m Köz Hiv'!I41</f>
        <v>653671</v>
      </c>
      <c r="K34" s="14">
        <f>+K32-K33</f>
        <v>-3926565</v>
      </c>
    </row>
    <row r="35" ht="12.75" hidden="1"/>
    <row r="36" ht="12.75" hidden="1">
      <c r="H36" s="14">
        <f>+'5.2 sz. m ÁMK'!G44</f>
        <v>653671</v>
      </c>
    </row>
    <row r="37" ht="12.75" hidden="1">
      <c r="H37" s="968">
        <f>SUM(H12:H31)</f>
        <v>653671</v>
      </c>
    </row>
    <row r="38" spans="6:8" ht="12.75" hidden="1">
      <c r="F38" s="968"/>
      <c r="H38" s="968">
        <f>+H36-H37</f>
        <v>0</v>
      </c>
    </row>
  </sheetData>
  <sheetProtection/>
  <mergeCells count="6">
    <mergeCell ref="A32:B32"/>
    <mergeCell ref="A3:E3"/>
    <mergeCell ref="A4:E4"/>
    <mergeCell ref="A6:E6"/>
    <mergeCell ref="D1:I1"/>
    <mergeCell ref="C7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User5</cp:lastModifiedBy>
  <cp:lastPrinted>2021-05-28T08:52:28Z</cp:lastPrinted>
  <dcterms:created xsi:type="dcterms:W3CDTF">2000-01-07T08:44:52Z</dcterms:created>
  <dcterms:modified xsi:type="dcterms:W3CDTF">2021-05-28T09:52:07Z</dcterms:modified>
  <cp:category/>
  <cp:version/>
  <cp:contentType/>
  <cp:contentStatus/>
</cp:coreProperties>
</file>